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GILE_CST2\"/>
    </mc:Choice>
  </mc:AlternateContent>
  <xr:revisionPtr revIDLastSave="0" documentId="13_ncr:1_{296EF782-D7E1-4095-BA23-46D5CF5A67F3}" xr6:coauthVersionLast="47" xr6:coauthVersionMax="47" xr10:uidLastSave="{00000000-0000-0000-0000-000000000000}"/>
  <bookViews>
    <workbookView xWindow="0" yWindow="0" windowWidth="28800" windowHeight="11400" firstSheet="2" activeTab="2" xr2:uid="{67F0C4F2-02A5-489D-BBC8-0D2D5AE3B688}"/>
  </bookViews>
  <sheets>
    <sheet name="PK Parameters_nominal_SALIVA" sheetId="2" r:id="rId1"/>
    <sheet name="PK Parameters_nominal_NASAL" sheetId="3" r:id="rId2"/>
    <sheet name="PK parameters_nominal_TEARS" sheetId="4" r:id="rId3"/>
    <sheet name="Sheet1" sheetId="1" r:id="rId4"/>
  </sheets>
  <externalReferences>
    <externalReference r:id="rId5"/>
    <externalReference r:id="rId6"/>
    <externalReference r:id="rId7"/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4" l="1"/>
  <c r="G83" i="4"/>
  <c r="F83" i="4"/>
  <c r="E83" i="4"/>
  <c r="C83" i="4"/>
  <c r="H82" i="4"/>
  <c r="G82" i="4"/>
  <c r="F82" i="4"/>
  <c r="E82" i="4"/>
  <c r="C82" i="4"/>
  <c r="H81" i="4"/>
  <c r="G81" i="4"/>
  <c r="F81" i="4"/>
  <c r="E81" i="4"/>
  <c r="C81" i="4"/>
  <c r="J69" i="4"/>
  <c r="I69" i="4"/>
  <c r="H68" i="4"/>
  <c r="G68" i="4"/>
  <c r="F68" i="4"/>
  <c r="E68" i="4"/>
  <c r="C68" i="4"/>
  <c r="H67" i="4"/>
  <c r="G67" i="4"/>
  <c r="K67" i="4" s="1"/>
  <c r="F67" i="4"/>
  <c r="J82" i="4" s="1"/>
  <c r="E67" i="4"/>
  <c r="C67" i="4"/>
  <c r="H66" i="4"/>
  <c r="H72" i="4" s="1"/>
  <c r="G66" i="4"/>
  <c r="F66" i="4"/>
  <c r="F74" i="4" s="1"/>
  <c r="E66" i="4"/>
  <c r="C66" i="4"/>
  <c r="H65" i="4"/>
  <c r="G65" i="4"/>
  <c r="K65" i="4" s="1"/>
  <c r="F65" i="4"/>
  <c r="E65" i="4"/>
  <c r="C65" i="4"/>
  <c r="H52" i="4"/>
  <c r="G52" i="4"/>
  <c r="F52" i="4"/>
  <c r="E52" i="4"/>
  <c r="C52" i="4"/>
  <c r="H51" i="4"/>
  <c r="G51" i="4"/>
  <c r="F51" i="4"/>
  <c r="E51" i="4"/>
  <c r="C51" i="4"/>
  <c r="H50" i="4"/>
  <c r="G50" i="4"/>
  <c r="F50" i="4"/>
  <c r="E50" i="4"/>
  <c r="C50" i="4"/>
  <c r="H49" i="4"/>
  <c r="H61" i="4" s="1"/>
  <c r="G49" i="4"/>
  <c r="F49" i="4"/>
  <c r="E49" i="4"/>
  <c r="C49" i="4"/>
  <c r="J38" i="4"/>
  <c r="I38" i="4"/>
  <c r="H37" i="4"/>
  <c r="G37" i="4"/>
  <c r="K37" i="4" s="1"/>
  <c r="F37" i="4"/>
  <c r="E37" i="4"/>
  <c r="C37" i="4"/>
  <c r="H36" i="4"/>
  <c r="G36" i="4"/>
  <c r="K36" i="4" s="1"/>
  <c r="F36" i="4"/>
  <c r="E36" i="4"/>
  <c r="C36" i="4"/>
  <c r="H35" i="4"/>
  <c r="G35" i="4"/>
  <c r="K35" i="4" s="1"/>
  <c r="F35" i="4"/>
  <c r="E35" i="4"/>
  <c r="C35" i="4"/>
  <c r="H34" i="4"/>
  <c r="G34" i="4"/>
  <c r="F34" i="4"/>
  <c r="E34" i="4"/>
  <c r="C34" i="4"/>
  <c r="H21" i="4"/>
  <c r="G21" i="4"/>
  <c r="K21" i="4" s="1"/>
  <c r="F21" i="4"/>
  <c r="E21" i="4"/>
  <c r="C21" i="4"/>
  <c r="H20" i="4"/>
  <c r="G20" i="4"/>
  <c r="K20" i="4" s="1"/>
  <c r="F20" i="4"/>
  <c r="E20" i="4"/>
  <c r="C20" i="4"/>
  <c r="H18" i="4"/>
  <c r="G18" i="4"/>
  <c r="F18" i="4"/>
  <c r="F30" i="4" s="1"/>
  <c r="E18" i="4"/>
  <c r="C18" i="4"/>
  <c r="J7" i="4"/>
  <c r="I7" i="4"/>
  <c r="H6" i="4"/>
  <c r="G6" i="4"/>
  <c r="K6" i="4" s="1"/>
  <c r="F6" i="4"/>
  <c r="E6" i="4"/>
  <c r="C6" i="4"/>
  <c r="H5" i="4"/>
  <c r="G5" i="4"/>
  <c r="K5" i="4" s="1"/>
  <c r="F5" i="4"/>
  <c r="E5" i="4"/>
  <c r="C5" i="4"/>
  <c r="H4" i="4"/>
  <c r="G4" i="4"/>
  <c r="K4" i="4" s="1"/>
  <c r="F4" i="4"/>
  <c r="E4" i="4"/>
  <c r="C4" i="4"/>
  <c r="H3" i="4"/>
  <c r="G3" i="4"/>
  <c r="F3" i="4"/>
  <c r="E3" i="4"/>
  <c r="E13" i="4" s="1"/>
  <c r="C3" i="4"/>
  <c r="F8" i="4" l="1"/>
  <c r="F13" i="4"/>
  <c r="F7" i="4"/>
  <c r="G11" i="4"/>
  <c r="G13" i="4"/>
  <c r="G8" i="4"/>
  <c r="G7" i="4"/>
  <c r="K3" i="4"/>
  <c r="H9" i="4"/>
  <c r="H11" i="4"/>
  <c r="H8" i="4"/>
  <c r="K11" i="4"/>
  <c r="E30" i="4"/>
  <c r="E28" i="4"/>
  <c r="E27" i="4"/>
  <c r="E24" i="4"/>
  <c r="G23" i="4"/>
  <c r="G30" i="4"/>
  <c r="G22" i="4"/>
  <c r="H24" i="4"/>
  <c r="H30" i="4"/>
  <c r="H27" i="4"/>
  <c r="H23" i="4"/>
  <c r="H22" i="4"/>
  <c r="J20" i="4"/>
  <c r="J21" i="4"/>
  <c r="E46" i="4"/>
  <c r="E43" i="4"/>
  <c r="F41" i="4"/>
  <c r="F46" i="4"/>
  <c r="G44" i="4"/>
  <c r="G41" i="4"/>
  <c r="H39" i="4"/>
  <c r="H44" i="4"/>
  <c r="H38" i="4"/>
  <c r="E39" i="4"/>
  <c r="E40" i="4"/>
  <c r="E45" i="4" s="1"/>
  <c r="F42" i="4"/>
  <c r="E58" i="4"/>
  <c r="E57" i="4"/>
  <c r="E56" i="4"/>
  <c r="E53" i="4"/>
  <c r="F59" i="4"/>
  <c r="F58" i="4"/>
  <c r="F57" i="4"/>
  <c r="F54" i="4"/>
  <c r="G61" i="4"/>
  <c r="G59" i="4"/>
  <c r="G58" i="4"/>
  <c r="J50" i="4"/>
  <c r="K50" i="4"/>
  <c r="I50" i="4"/>
  <c r="J51" i="4"/>
  <c r="K51" i="4"/>
  <c r="I51" i="4"/>
  <c r="J52" i="4"/>
  <c r="K52" i="4"/>
  <c r="I52" i="4"/>
  <c r="E71" i="4"/>
  <c r="E73" i="4"/>
  <c r="G77" i="4"/>
  <c r="G71" i="4"/>
  <c r="G74" i="4"/>
  <c r="H77" i="4"/>
  <c r="E87" i="4"/>
  <c r="E86" i="4"/>
  <c r="E85" i="4"/>
  <c r="F88" i="4"/>
  <c r="F87" i="4"/>
  <c r="F86" i="4"/>
  <c r="J81" i="4"/>
  <c r="I81" i="4"/>
  <c r="K81" i="4"/>
  <c r="H90" i="4"/>
  <c r="H89" i="4"/>
  <c r="H88" i="4"/>
  <c r="I82" i="4"/>
  <c r="K82" i="4"/>
  <c r="J83" i="4"/>
  <c r="G89" i="4"/>
  <c r="G88" i="4"/>
  <c r="G87" i="4"/>
  <c r="K83" i="4"/>
  <c r="K92" i="4" s="1"/>
  <c r="J92" i="4"/>
  <c r="K9" i="4"/>
  <c r="K27" i="4"/>
  <c r="K28" i="4"/>
  <c r="K25" i="4"/>
  <c r="K30" i="4"/>
  <c r="K22" i="4"/>
  <c r="K26" i="4"/>
  <c r="K23" i="4"/>
  <c r="K24" i="4"/>
  <c r="E10" i="4"/>
  <c r="F43" i="4"/>
  <c r="H59" i="4"/>
  <c r="H7" i="4"/>
  <c r="K8" i="4"/>
  <c r="G10" i="4"/>
  <c r="E12" i="4"/>
  <c r="H13" i="4"/>
  <c r="F15" i="4"/>
  <c r="E26" i="4"/>
  <c r="F27" i="4"/>
  <c r="G28" i="4"/>
  <c r="K34" i="4"/>
  <c r="F40" i="4"/>
  <c r="G43" i="4"/>
  <c r="H46" i="4"/>
  <c r="J49" i="4"/>
  <c r="E55" i="4"/>
  <c r="F56" i="4"/>
  <c r="G57" i="4"/>
  <c r="H58" i="4"/>
  <c r="K68" i="4"/>
  <c r="E70" i="4"/>
  <c r="E76" i="4" s="1"/>
  <c r="H71" i="4"/>
  <c r="F73" i="4"/>
  <c r="E84" i="4"/>
  <c r="F85" i="4"/>
  <c r="F91" i="4" s="1"/>
  <c r="G86" i="4"/>
  <c r="H87" i="4"/>
  <c r="J89" i="4"/>
  <c r="K90" i="4"/>
  <c r="E92" i="4"/>
  <c r="F28" i="4"/>
  <c r="H41" i="4"/>
  <c r="E9" i="4"/>
  <c r="H10" i="4"/>
  <c r="F12" i="4"/>
  <c r="K13" i="4"/>
  <c r="G15" i="4"/>
  <c r="I18" i="4"/>
  <c r="I20" i="4"/>
  <c r="I21" i="4"/>
  <c r="E25" i="4"/>
  <c r="F26" i="4"/>
  <c r="G27" i="4"/>
  <c r="H28" i="4"/>
  <c r="G40" i="4"/>
  <c r="E42" i="4"/>
  <c r="H43" i="4"/>
  <c r="K49" i="4"/>
  <c r="E54" i="4"/>
  <c r="F55" i="4"/>
  <c r="F60" i="4" s="1"/>
  <c r="G56" i="4"/>
  <c r="H57" i="4"/>
  <c r="E69" i="4"/>
  <c r="F70" i="4"/>
  <c r="G73" i="4"/>
  <c r="E75" i="4"/>
  <c r="F84" i="4"/>
  <c r="G85" i="4"/>
  <c r="H86" i="4"/>
  <c r="J88" i="4"/>
  <c r="K89" i="4"/>
  <c r="F92" i="4"/>
  <c r="E15" i="4"/>
  <c r="H74" i="4"/>
  <c r="K10" i="4"/>
  <c r="G12" i="4"/>
  <c r="H15" i="4"/>
  <c r="J18" i="4"/>
  <c r="F25" i="4"/>
  <c r="G26" i="4"/>
  <c r="H40" i="4"/>
  <c r="H45" i="4" s="1"/>
  <c r="G55" i="4"/>
  <c r="H56" i="4"/>
  <c r="E61" i="4"/>
  <c r="F69" i="4"/>
  <c r="G70" i="4"/>
  <c r="G76" i="4" s="1"/>
  <c r="E72" i="4"/>
  <c r="H73" i="4"/>
  <c r="F75" i="4"/>
  <c r="G84" i="4"/>
  <c r="H85" i="4"/>
  <c r="J87" i="4"/>
  <c r="K88" i="4"/>
  <c r="E90" i="4"/>
  <c r="G92" i="4"/>
  <c r="F9" i="4"/>
  <c r="F14" i="4" s="1"/>
  <c r="K7" i="4"/>
  <c r="G9" i="4"/>
  <c r="G14" i="4" s="1"/>
  <c r="E11" i="4"/>
  <c r="H12" i="4"/>
  <c r="K15" i="4"/>
  <c r="K18" i="4"/>
  <c r="E23" i="4"/>
  <c r="E29" i="4" s="1"/>
  <c r="F24" i="4"/>
  <c r="G25" i="4"/>
  <c r="H26" i="4"/>
  <c r="E38" i="4"/>
  <c r="F39" i="4"/>
  <c r="G42" i="4"/>
  <c r="E44" i="4"/>
  <c r="F53" i="4"/>
  <c r="G54" i="4"/>
  <c r="H55" i="4"/>
  <c r="F61" i="4"/>
  <c r="G69" i="4"/>
  <c r="H70" i="4"/>
  <c r="F72" i="4"/>
  <c r="G75" i="4"/>
  <c r="E77" i="4"/>
  <c r="H84" i="4"/>
  <c r="J86" i="4"/>
  <c r="K87" i="4"/>
  <c r="E89" i="4"/>
  <c r="F90" i="4"/>
  <c r="H92" i="4"/>
  <c r="F10" i="4"/>
  <c r="G46" i="4"/>
  <c r="E8" i="4"/>
  <c r="F11" i="4"/>
  <c r="K12" i="4"/>
  <c r="E22" i="4"/>
  <c r="F23" i="4"/>
  <c r="G24" i="4"/>
  <c r="G29" i="4" s="1"/>
  <c r="H25" i="4"/>
  <c r="F38" i="4"/>
  <c r="G39" i="4"/>
  <c r="E41" i="4"/>
  <c r="H42" i="4"/>
  <c r="F44" i="4"/>
  <c r="G53" i="4"/>
  <c r="H54" i="4"/>
  <c r="E59" i="4"/>
  <c r="K66" i="4"/>
  <c r="H69" i="4"/>
  <c r="G72" i="4"/>
  <c r="E74" i="4"/>
  <c r="H75" i="4"/>
  <c r="F77" i="4"/>
  <c r="J85" i="4"/>
  <c r="K86" i="4"/>
  <c r="E88" i="4"/>
  <c r="F89" i="4"/>
  <c r="G90" i="4"/>
  <c r="I49" i="4"/>
  <c r="E7" i="4"/>
  <c r="F22" i="4"/>
  <c r="G38" i="4"/>
  <c r="H53" i="4"/>
  <c r="I83" i="4"/>
  <c r="J84" i="4"/>
  <c r="K85" i="4"/>
  <c r="F71" i="4"/>
  <c r="F76" i="4" s="1"/>
  <c r="K84" i="4"/>
  <c r="G60" i="4" l="1"/>
  <c r="H91" i="4"/>
  <c r="G45" i="4"/>
  <c r="E60" i="4"/>
  <c r="K14" i="4"/>
  <c r="J90" i="4"/>
  <c r="E91" i="4"/>
  <c r="H29" i="4"/>
  <c r="H14" i="4"/>
  <c r="J91" i="4"/>
  <c r="H60" i="4"/>
  <c r="J54" i="4"/>
  <c r="J55" i="4"/>
  <c r="J60" i="4" s="1"/>
  <c r="J56" i="4"/>
  <c r="J57" i="4"/>
  <c r="J53" i="4"/>
  <c r="J58" i="4"/>
  <c r="J61" i="4"/>
  <c r="J59" i="4"/>
  <c r="I61" i="4"/>
  <c r="I53" i="4"/>
  <c r="I54" i="4"/>
  <c r="I55" i="4"/>
  <c r="I60" i="4" s="1"/>
  <c r="I56" i="4"/>
  <c r="I57" i="4"/>
  <c r="I58" i="4"/>
  <c r="I59" i="4"/>
  <c r="K55" i="4"/>
  <c r="K56" i="4"/>
  <c r="K57" i="4"/>
  <c r="K54" i="4"/>
  <c r="K58" i="4"/>
  <c r="K59" i="4"/>
  <c r="K61" i="4"/>
  <c r="K53" i="4"/>
  <c r="F29" i="4"/>
  <c r="I25" i="4"/>
  <c r="I26" i="4"/>
  <c r="I24" i="4"/>
  <c r="I27" i="4"/>
  <c r="I28" i="4"/>
  <c r="I23" i="4"/>
  <c r="I30" i="4"/>
  <c r="I22" i="4"/>
  <c r="H76" i="4"/>
  <c r="K29" i="4"/>
  <c r="I90" i="4"/>
  <c r="I92" i="4"/>
  <c r="I84" i="4"/>
  <c r="I89" i="4"/>
  <c r="I85" i="4"/>
  <c r="I86" i="4"/>
  <c r="I87" i="4"/>
  <c r="I88" i="4"/>
  <c r="K72" i="4"/>
  <c r="K75" i="4"/>
  <c r="K69" i="4"/>
  <c r="K70" i="4"/>
  <c r="K73" i="4"/>
  <c r="K71" i="4"/>
  <c r="K74" i="4"/>
  <c r="K77" i="4"/>
  <c r="K91" i="4"/>
  <c r="J26" i="4"/>
  <c r="J24" i="4"/>
  <c r="J27" i="4"/>
  <c r="J28" i="4"/>
  <c r="J30" i="4"/>
  <c r="J22" i="4"/>
  <c r="J23" i="4"/>
  <c r="J25" i="4"/>
  <c r="F45" i="4"/>
  <c r="K42" i="4"/>
  <c r="K40" i="4"/>
  <c r="K43" i="4"/>
  <c r="K44" i="4"/>
  <c r="K39" i="4"/>
  <c r="K46" i="4"/>
  <c r="K38" i="4"/>
  <c r="K41" i="4"/>
  <c r="G91" i="4"/>
  <c r="E14" i="4"/>
  <c r="K45" i="4" l="1"/>
  <c r="J29" i="4"/>
  <c r="I29" i="4"/>
  <c r="K76" i="4"/>
  <c r="I91" i="4"/>
  <c r="K60" i="4"/>
  <c r="H83" i="3" l="1"/>
  <c r="G83" i="3"/>
  <c r="F83" i="3"/>
  <c r="E83" i="3"/>
  <c r="C83" i="3"/>
  <c r="H82" i="3"/>
  <c r="G82" i="3"/>
  <c r="F82" i="3"/>
  <c r="E82" i="3"/>
  <c r="C82" i="3"/>
  <c r="H81" i="3"/>
  <c r="G81" i="3"/>
  <c r="F81" i="3"/>
  <c r="E81" i="3"/>
  <c r="C81" i="3"/>
  <c r="J69" i="3"/>
  <c r="I69" i="3"/>
  <c r="H68" i="3"/>
  <c r="G68" i="3"/>
  <c r="K68" i="3" s="1"/>
  <c r="F68" i="3"/>
  <c r="E68" i="3"/>
  <c r="C68" i="3"/>
  <c r="H67" i="3"/>
  <c r="G67" i="3"/>
  <c r="K67" i="3" s="1"/>
  <c r="F67" i="3"/>
  <c r="E67" i="3"/>
  <c r="C67" i="3"/>
  <c r="H66" i="3"/>
  <c r="G66" i="3"/>
  <c r="K66" i="3" s="1"/>
  <c r="F66" i="3"/>
  <c r="E66" i="3"/>
  <c r="C66" i="3"/>
  <c r="H65" i="3"/>
  <c r="H77" i="3" s="1"/>
  <c r="G65" i="3"/>
  <c r="F65" i="3"/>
  <c r="F71" i="3" s="1"/>
  <c r="E65" i="3"/>
  <c r="C65" i="3"/>
  <c r="H52" i="3"/>
  <c r="G52" i="3"/>
  <c r="F52" i="3"/>
  <c r="E52" i="3"/>
  <c r="C52" i="3"/>
  <c r="H51" i="3"/>
  <c r="G51" i="3"/>
  <c r="F51" i="3"/>
  <c r="E51" i="3"/>
  <c r="C51" i="3"/>
  <c r="H50" i="3"/>
  <c r="G50" i="3"/>
  <c r="F50" i="3"/>
  <c r="E50" i="3"/>
  <c r="C50" i="3"/>
  <c r="H49" i="3"/>
  <c r="G49" i="3"/>
  <c r="F49" i="3"/>
  <c r="E49" i="3"/>
  <c r="C49" i="3"/>
  <c r="J38" i="3"/>
  <c r="I38" i="3"/>
  <c r="H37" i="3"/>
  <c r="G37" i="3"/>
  <c r="K37" i="3" s="1"/>
  <c r="F37" i="3"/>
  <c r="E37" i="3"/>
  <c r="C37" i="3"/>
  <c r="H36" i="3"/>
  <c r="G36" i="3"/>
  <c r="K36" i="3" s="1"/>
  <c r="F36" i="3"/>
  <c r="E36" i="3"/>
  <c r="C36" i="3"/>
  <c r="H35" i="3"/>
  <c r="G35" i="3"/>
  <c r="K35" i="3" s="1"/>
  <c r="F35" i="3"/>
  <c r="E35" i="3"/>
  <c r="C35" i="3"/>
  <c r="H34" i="3"/>
  <c r="H44" i="3" s="1"/>
  <c r="G34" i="3"/>
  <c r="F34" i="3"/>
  <c r="F46" i="3" s="1"/>
  <c r="E34" i="3"/>
  <c r="C34" i="3"/>
  <c r="H21" i="3"/>
  <c r="G21" i="3"/>
  <c r="K21" i="3" s="1"/>
  <c r="F21" i="3"/>
  <c r="E21" i="3"/>
  <c r="C21" i="3"/>
  <c r="H20" i="3"/>
  <c r="G20" i="3"/>
  <c r="K20" i="3" s="1"/>
  <c r="F20" i="3"/>
  <c r="E20" i="3"/>
  <c r="C20" i="3"/>
  <c r="H19" i="3"/>
  <c r="G19" i="3"/>
  <c r="K19" i="3" s="1"/>
  <c r="F19" i="3"/>
  <c r="E19" i="3"/>
  <c r="C19" i="3"/>
  <c r="H18" i="3"/>
  <c r="G18" i="3"/>
  <c r="G30" i="3" s="1"/>
  <c r="F18" i="3"/>
  <c r="E18" i="3"/>
  <c r="C18" i="3"/>
  <c r="J7" i="3"/>
  <c r="I7" i="3"/>
  <c r="H6" i="3"/>
  <c r="G6" i="3"/>
  <c r="K6" i="3" s="1"/>
  <c r="F6" i="3"/>
  <c r="E6" i="3"/>
  <c r="C6" i="3"/>
  <c r="H5" i="3"/>
  <c r="G5" i="3"/>
  <c r="K5" i="3" s="1"/>
  <c r="F5" i="3"/>
  <c r="E5" i="3"/>
  <c r="C5" i="3"/>
  <c r="H4" i="3"/>
  <c r="G4" i="3"/>
  <c r="K4" i="3" s="1"/>
  <c r="F4" i="3"/>
  <c r="E4" i="3"/>
  <c r="C4" i="3"/>
  <c r="H3" i="3"/>
  <c r="G3" i="3"/>
  <c r="F3" i="3"/>
  <c r="F13" i="3" s="1"/>
  <c r="E3" i="3"/>
  <c r="C3" i="3"/>
  <c r="E10" i="3" l="1"/>
  <c r="E15" i="3"/>
  <c r="G8" i="3"/>
  <c r="G13" i="3"/>
  <c r="G7" i="3"/>
  <c r="H11" i="3"/>
  <c r="H13" i="3"/>
  <c r="H8" i="3"/>
  <c r="H7" i="3"/>
  <c r="E12" i="3"/>
  <c r="E28" i="3"/>
  <c r="E27" i="3"/>
  <c r="E26" i="3"/>
  <c r="F30" i="3"/>
  <c r="F28" i="3"/>
  <c r="F27" i="3"/>
  <c r="H23" i="3"/>
  <c r="H30" i="3"/>
  <c r="H22" i="3"/>
  <c r="J19" i="3"/>
  <c r="J20" i="3"/>
  <c r="J21" i="3"/>
  <c r="E43" i="3"/>
  <c r="E40" i="3"/>
  <c r="G41" i="3"/>
  <c r="G46" i="3"/>
  <c r="K34" i="3"/>
  <c r="F40" i="3"/>
  <c r="K44" i="3"/>
  <c r="E57" i="3"/>
  <c r="E56" i="3"/>
  <c r="E55" i="3"/>
  <c r="F58" i="3"/>
  <c r="F57" i="3"/>
  <c r="F56" i="3"/>
  <c r="J49" i="3"/>
  <c r="G59" i="3"/>
  <c r="G58" i="3"/>
  <c r="G57" i="3"/>
  <c r="I49" i="3"/>
  <c r="H61" i="3"/>
  <c r="H59" i="3"/>
  <c r="H58" i="3"/>
  <c r="J50" i="3"/>
  <c r="K50" i="3"/>
  <c r="I50" i="3"/>
  <c r="J51" i="3"/>
  <c r="K51" i="3"/>
  <c r="I51" i="3"/>
  <c r="K52" i="3"/>
  <c r="I52" i="3"/>
  <c r="E71" i="3"/>
  <c r="E73" i="3"/>
  <c r="G74" i="3"/>
  <c r="G71" i="3"/>
  <c r="K65" i="3"/>
  <c r="E70" i="3"/>
  <c r="F73" i="3"/>
  <c r="H74" i="3"/>
  <c r="E86" i="3"/>
  <c r="E92" i="3"/>
  <c r="E85" i="3"/>
  <c r="E84" i="3"/>
  <c r="F87" i="3"/>
  <c r="F86" i="3"/>
  <c r="F85" i="3"/>
  <c r="G88" i="3"/>
  <c r="G87" i="3"/>
  <c r="G86" i="3"/>
  <c r="K81" i="3"/>
  <c r="H89" i="3"/>
  <c r="H88" i="3"/>
  <c r="H87" i="3"/>
  <c r="J82" i="3"/>
  <c r="I82" i="3"/>
  <c r="K82" i="3"/>
  <c r="J83" i="3"/>
  <c r="I83" i="3"/>
  <c r="K83" i="3"/>
  <c r="K92" i="3"/>
  <c r="K72" i="3"/>
  <c r="K26" i="3"/>
  <c r="K27" i="3"/>
  <c r="K28" i="3"/>
  <c r="K25" i="3"/>
  <c r="K24" i="3"/>
  <c r="K30" i="3"/>
  <c r="K22" i="3"/>
  <c r="K23" i="3"/>
  <c r="K39" i="3"/>
  <c r="E76" i="3"/>
  <c r="K74" i="3"/>
  <c r="K77" i="3"/>
  <c r="K69" i="3"/>
  <c r="F10" i="3"/>
  <c r="J52" i="3"/>
  <c r="E9" i="3"/>
  <c r="H10" i="3"/>
  <c r="F12" i="3"/>
  <c r="G15" i="3"/>
  <c r="I18" i="3"/>
  <c r="I19" i="3"/>
  <c r="I20" i="3"/>
  <c r="I21" i="3"/>
  <c r="E25" i="3"/>
  <c r="F26" i="3"/>
  <c r="G27" i="3"/>
  <c r="H28" i="3"/>
  <c r="K38" i="3"/>
  <c r="G40" i="3"/>
  <c r="E42" i="3"/>
  <c r="H43" i="3"/>
  <c r="K46" i="3"/>
  <c r="K49" i="3"/>
  <c r="E54" i="3"/>
  <c r="E60" i="3" s="1"/>
  <c r="F55" i="3"/>
  <c r="G56" i="3"/>
  <c r="H57" i="3"/>
  <c r="I58" i="3"/>
  <c r="J59" i="3"/>
  <c r="E69" i="3"/>
  <c r="F70" i="3"/>
  <c r="F76" i="3" s="1"/>
  <c r="K71" i="3"/>
  <c r="G73" i="3"/>
  <c r="E75" i="3"/>
  <c r="F84" i="3"/>
  <c r="G85" i="3"/>
  <c r="G91" i="3" s="1"/>
  <c r="H86" i="3"/>
  <c r="K89" i="3"/>
  <c r="F92" i="3"/>
  <c r="G10" i="3"/>
  <c r="G28" i="3"/>
  <c r="G43" i="3"/>
  <c r="K90" i="3"/>
  <c r="K3" i="3"/>
  <c r="F9" i="3"/>
  <c r="G12" i="3"/>
  <c r="H15" i="3"/>
  <c r="J18" i="3"/>
  <c r="E24" i="3"/>
  <c r="F25" i="3"/>
  <c r="G26" i="3"/>
  <c r="H27" i="3"/>
  <c r="E39" i="3"/>
  <c r="E45" i="3" s="1"/>
  <c r="H40" i="3"/>
  <c r="F42" i="3"/>
  <c r="K43" i="3"/>
  <c r="E53" i="3"/>
  <c r="F54" i="3"/>
  <c r="G55" i="3"/>
  <c r="H56" i="3"/>
  <c r="I57" i="3"/>
  <c r="J58" i="3"/>
  <c r="E61" i="3"/>
  <c r="F69" i="3"/>
  <c r="G70" i="3"/>
  <c r="G76" i="3" s="1"/>
  <c r="E72" i="3"/>
  <c r="H73" i="3"/>
  <c r="F75" i="3"/>
  <c r="G84" i="3"/>
  <c r="H85" i="3"/>
  <c r="K88" i="3"/>
  <c r="E90" i="3"/>
  <c r="G92" i="3"/>
  <c r="F15" i="3"/>
  <c r="H46" i="3"/>
  <c r="G9" i="3"/>
  <c r="G14" i="3" s="1"/>
  <c r="E11" i="3"/>
  <c r="H12" i="3"/>
  <c r="K18" i="3"/>
  <c r="E23" i="3"/>
  <c r="F24" i="3"/>
  <c r="G25" i="3"/>
  <c r="H26" i="3"/>
  <c r="E38" i="3"/>
  <c r="F39" i="3"/>
  <c r="F45" i="3" s="1"/>
  <c r="K40" i="3"/>
  <c r="K45" i="3" s="1"/>
  <c r="G42" i="3"/>
  <c r="E44" i="3"/>
  <c r="F53" i="3"/>
  <c r="G54" i="3"/>
  <c r="H55" i="3"/>
  <c r="I56" i="3"/>
  <c r="J57" i="3"/>
  <c r="F61" i="3"/>
  <c r="G69" i="3"/>
  <c r="H70" i="3"/>
  <c r="F72" i="3"/>
  <c r="K73" i="3"/>
  <c r="G75" i="3"/>
  <c r="E77" i="3"/>
  <c r="H84" i="3"/>
  <c r="K87" i="3"/>
  <c r="E89" i="3"/>
  <c r="F90" i="3"/>
  <c r="H92" i="3"/>
  <c r="F43" i="3"/>
  <c r="H71" i="3"/>
  <c r="H76" i="3" s="1"/>
  <c r="E8" i="3"/>
  <c r="H9" i="3"/>
  <c r="H14" i="3" s="1"/>
  <c r="F11" i="3"/>
  <c r="E22" i="3"/>
  <c r="F23" i="3"/>
  <c r="G24" i="3"/>
  <c r="H25" i="3"/>
  <c r="E30" i="3"/>
  <c r="F38" i="3"/>
  <c r="G39" i="3"/>
  <c r="E41" i="3"/>
  <c r="H42" i="3"/>
  <c r="F44" i="3"/>
  <c r="G53" i="3"/>
  <c r="H54" i="3"/>
  <c r="I55" i="3"/>
  <c r="E59" i="3"/>
  <c r="G61" i="3"/>
  <c r="H69" i="3"/>
  <c r="K70" i="3"/>
  <c r="G72" i="3"/>
  <c r="E74" i="3"/>
  <c r="H75" i="3"/>
  <c r="F77" i="3"/>
  <c r="K86" i="3"/>
  <c r="E88" i="3"/>
  <c r="F89" i="3"/>
  <c r="G90" i="3"/>
  <c r="K41" i="3"/>
  <c r="I59" i="3"/>
  <c r="E7" i="3"/>
  <c r="F8" i="3"/>
  <c r="G11" i="3"/>
  <c r="E13" i="3"/>
  <c r="F22" i="3"/>
  <c r="G23" i="3"/>
  <c r="H24" i="3"/>
  <c r="H29" i="3" s="1"/>
  <c r="G38" i="3"/>
  <c r="H39" i="3"/>
  <c r="F41" i="3"/>
  <c r="K42" i="3"/>
  <c r="G44" i="3"/>
  <c r="E46" i="3"/>
  <c r="H53" i="3"/>
  <c r="I54" i="3"/>
  <c r="E58" i="3"/>
  <c r="F59" i="3"/>
  <c r="H72" i="3"/>
  <c r="F74" i="3"/>
  <c r="K75" i="3"/>
  <c r="G77" i="3"/>
  <c r="I81" i="3"/>
  <c r="K85" i="3"/>
  <c r="E87" i="3"/>
  <c r="F88" i="3"/>
  <c r="G89" i="3"/>
  <c r="H90" i="3"/>
  <c r="H41" i="3"/>
  <c r="F7" i="3"/>
  <c r="G22" i="3"/>
  <c r="H38" i="3"/>
  <c r="I53" i="3"/>
  <c r="J81" i="3"/>
  <c r="K84" i="3"/>
  <c r="I60" i="3" l="1"/>
  <c r="G29" i="3"/>
  <c r="H60" i="3"/>
  <c r="F29" i="3"/>
  <c r="G60" i="3"/>
  <c r="H45" i="3"/>
  <c r="E29" i="3"/>
  <c r="F14" i="3"/>
  <c r="E14" i="3"/>
  <c r="K29" i="3"/>
  <c r="F91" i="3"/>
  <c r="E91" i="3"/>
  <c r="I61" i="3"/>
  <c r="K91" i="3"/>
  <c r="H91" i="3"/>
  <c r="J61" i="3"/>
  <c r="J53" i="3"/>
  <c r="J90" i="3"/>
  <c r="J92" i="3"/>
  <c r="J84" i="3"/>
  <c r="J85" i="3"/>
  <c r="J89" i="3"/>
  <c r="J86" i="3"/>
  <c r="J87" i="3"/>
  <c r="J88" i="3"/>
  <c r="J56" i="3"/>
  <c r="K9" i="3"/>
  <c r="K8" i="3"/>
  <c r="K12" i="3"/>
  <c r="K11" i="3"/>
  <c r="K15" i="3"/>
  <c r="K7" i="3"/>
  <c r="K10" i="3"/>
  <c r="K13" i="3"/>
  <c r="J55" i="3"/>
  <c r="I24" i="3"/>
  <c r="I30" i="3"/>
  <c r="I22" i="3"/>
  <c r="I25" i="3"/>
  <c r="I26" i="3"/>
  <c r="I23" i="3"/>
  <c r="I27" i="3"/>
  <c r="I28" i="3"/>
  <c r="G45" i="3"/>
  <c r="I90" i="3"/>
  <c r="I92" i="3"/>
  <c r="I84" i="3"/>
  <c r="I85" i="3"/>
  <c r="I88" i="3"/>
  <c r="I86" i="3"/>
  <c r="I89" i="3"/>
  <c r="I87" i="3"/>
  <c r="F60" i="3"/>
  <c r="J25" i="3"/>
  <c r="J26" i="3"/>
  <c r="J27" i="3"/>
  <c r="J28" i="3"/>
  <c r="J24" i="3"/>
  <c r="J23" i="3"/>
  <c r="J30" i="3"/>
  <c r="J22" i="3"/>
  <c r="K76" i="3"/>
  <c r="J54" i="3"/>
  <c r="K55" i="3"/>
  <c r="K54" i="3"/>
  <c r="K56" i="3"/>
  <c r="K57" i="3"/>
  <c r="K58" i="3"/>
  <c r="K59" i="3"/>
  <c r="K61" i="3"/>
  <c r="K53" i="3"/>
  <c r="K60" i="3" l="1"/>
  <c r="I29" i="3"/>
  <c r="K14" i="3"/>
  <c r="J60" i="3"/>
  <c r="J29" i="3"/>
  <c r="I91" i="3"/>
  <c r="J91" i="3"/>
  <c r="I83" i="2" l="1"/>
  <c r="H83" i="2"/>
  <c r="G83" i="2"/>
  <c r="L83" i="2" s="1"/>
  <c r="F83" i="2"/>
  <c r="E83" i="2"/>
  <c r="C83" i="2"/>
  <c r="I82" i="2"/>
  <c r="H82" i="2"/>
  <c r="G82" i="2"/>
  <c r="L82" i="2" s="1"/>
  <c r="F82" i="2"/>
  <c r="E82" i="2"/>
  <c r="C82" i="2"/>
  <c r="I81" i="2"/>
  <c r="I92" i="2" s="1"/>
  <c r="H81" i="2"/>
  <c r="H92" i="2" s="1"/>
  <c r="G81" i="2"/>
  <c r="F81" i="2"/>
  <c r="F92" i="2" s="1"/>
  <c r="E81" i="2"/>
  <c r="E92" i="2" s="1"/>
  <c r="C81" i="2"/>
  <c r="K69" i="2"/>
  <c r="J69" i="2"/>
  <c r="I68" i="2"/>
  <c r="H68" i="2"/>
  <c r="G68" i="2"/>
  <c r="L68" i="2" s="1"/>
  <c r="F68" i="2"/>
  <c r="E68" i="2"/>
  <c r="C68" i="2"/>
  <c r="I67" i="2"/>
  <c r="H67" i="2"/>
  <c r="G67" i="2"/>
  <c r="L67" i="2" s="1"/>
  <c r="F67" i="2"/>
  <c r="E67" i="2"/>
  <c r="C67" i="2"/>
  <c r="I66" i="2"/>
  <c r="H66" i="2"/>
  <c r="G66" i="2"/>
  <c r="L66" i="2" s="1"/>
  <c r="F66" i="2"/>
  <c r="E66" i="2"/>
  <c r="C66" i="2"/>
  <c r="I65" i="2"/>
  <c r="I74" i="2" s="1"/>
  <c r="H65" i="2"/>
  <c r="H74" i="2" s="1"/>
  <c r="G65" i="2"/>
  <c r="F65" i="2"/>
  <c r="F77" i="2" s="1"/>
  <c r="E65" i="2"/>
  <c r="E72" i="2" s="1"/>
  <c r="C65" i="2"/>
  <c r="I52" i="2"/>
  <c r="H52" i="2"/>
  <c r="G52" i="2"/>
  <c r="L52" i="2" s="1"/>
  <c r="F52" i="2"/>
  <c r="E52" i="2"/>
  <c r="C52" i="2"/>
  <c r="I51" i="2"/>
  <c r="H51" i="2"/>
  <c r="G51" i="2"/>
  <c r="L51" i="2" s="1"/>
  <c r="F51" i="2"/>
  <c r="E51" i="2"/>
  <c r="C51" i="2"/>
  <c r="I50" i="2"/>
  <c r="H50" i="2"/>
  <c r="G50" i="2"/>
  <c r="F50" i="2"/>
  <c r="E50" i="2"/>
  <c r="C50" i="2"/>
  <c r="I49" i="2"/>
  <c r="I61" i="2" s="1"/>
  <c r="H49" i="2"/>
  <c r="H61" i="2" s="1"/>
  <c r="G49" i="2"/>
  <c r="L49" i="2" s="1"/>
  <c r="F49" i="2"/>
  <c r="E49" i="2"/>
  <c r="E61" i="2" s="1"/>
  <c r="C49" i="2"/>
  <c r="K38" i="2"/>
  <c r="J38" i="2"/>
  <c r="I37" i="2"/>
  <c r="H37" i="2"/>
  <c r="G37" i="2"/>
  <c r="L37" i="2" s="1"/>
  <c r="F37" i="2"/>
  <c r="E37" i="2"/>
  <c r="C37" i="2"/>
  <c r="I36" i="2"/>
  <c r="H36" i="2"/>
  <c r="G36" i="2"/>
  <c r="L36" i="2" s="1"/>
  <c r="F36" i="2"/>
  <c r="K51" i="2" s="1"/>
  <c r="E36" i="2"/>
  <c r="C36" i="2"/>
  <c r="I35" i="2"/>
  <c r="H35" i="2"/>
  <c r="G35" i="2"/>
  <c r="L35" i="2" s="1"/>
  <c r="F35" i="2"/>
  <c r="E35" i="2"/>
  <c r="C35" i="2"/>
  <c r="I34" i="2"/>
  <c r="I43" i="2" s="1"/>
  <c r="H34" i="2"/>
  <c r="G34" i="2"/>
  <c r="G46" i="2" s="1"/>
  <c r="F34" i="2"/>
  <c r="F46" i="2" s="1"/>
  <c r="E34" i="2"/>
  <c r="E41" i="2" s="1"/>
  <c r="C34" i="2"/>
  <c r="I21" i="2"/>
  <c r="H21" i="2"/>
  <c r="G21" i="2"/>
  <c r="L21" i="2" s="1"/>
  <c r="F21" i="2"/>
  <c r="E21" i="2"/>
  <c r="C21" i="2"/>
  <c r="I20" i="2"/>
  <c r="H20" i="2"/>
  <c r="G20" i="2"/>
  <c r="L20" i="2" s="1"/>
  <c r="F20" i="2"/>
  <c r="E20" i="2"/>
  <c r="C20" i="2"/>
  <c r="I19" i="2"/>
  <c r="H19" i="2"/>
  <c r="G19" i="2"/>
  <c r="L19" i="2" s="1"/>
  <c r="F19" i="2"/>
  <c r="E19" i="2"/>
  <c r="C19" i="2"/>
  <c r="I18" i="2"/>
  <c r="I30" i="2" s="1"/>
  <c r="H18" i="2"/>
  <c r="H30" i="2" s="1"/>
  <c r="G18" i="2"/>
  <c r="F18" i="2"/>
  <c r="E18" i="2"/>
  <c r="E30" i="2" s="1"/>
  <c r="C18" i="2"/>
  <c r="K7" i="2"/>
  <c r="J7" i="2"/>
  <c r="I6" i="2"/>
  <c r="H6" i="2"/>
  <c r="G6" i="2"/>
  <c r="L6" i="2" s="1"/>
  <c r="F6" i="2"/>
  <c r="E6" i="2"/>
  <c r="C6" i="2"/>
  <c r="I5" i="2"/>
  <c r="H5" i="2"/>
  <c r="G5" i="2"/>
  <c r="L5" i="2" s="1"/>
  <c r="F5" i="2"/>
  <c r="K20" i="2" s="1"/>
  <c r="E5" i="2"/>
  <c r="C5" i="2"/>
  <c r="I4" i="2"/>
  <c r="H4" i="2"/>
  <c r="G4" i="2"/>
  <c r="L4" i="2" s="1"/>
  <c r="F4" i="2"/>
  <c r="K19" i="2" s="1"/>
  <c r="E4" i="2"/>
  <c r="C4" i="2"/>
  <c r="I3" i="2"/>
  <c r="I12" i="2" s="1"/>
  <c r="H3" i="2"/>
  <c r="G3" i="2"/>
  <c r="G15" i="2" s="1"/>
  <c r="F3" i="2"/>
  <c r="E3" i="2"/>
  <c r="E10" i="2" s="1"/>
  <c r="C3" i="2"/>
  <c r="F15" i="2" l="1"/>
  <c r="F10" i="2"/>
  <c r="H12" i="2"/>
  <c r="H11" i="2"/>
  <c r="H15" i="2"/>
  <c r="F27" i="2"/>
  <c r="F22" i="2"/>
  <c r="G30" i="2"/>
  <c r="L18" i="2"/>
  <c r="F23" i="2"/>
  <c r="H43" i="2"/>
  <c r="H42" i="2"/>
  <c r="F41" i="2"/>
  <c r="H46" i="2"/>
  <c r="K49" i="2"/>
  <c r="F61" i="2"/>
  <c r="F59" i="2"/>
  <c r="F58" i="2"/>
  <c r="F57" i="2"/>
  <c r="F56" i="2"/>
  <c r="F55" i="2"/>
  <c r="F54" i="2"/>
  <c r="F53" i="2"/>
  <c r="K50" i="2"/>
  <c r="J50" i="2"/>
  <c r="L50" i="2"/>
  <c r="K52" i="2"/>
  <c r="G77" i="2"/>
  <c r="L65" i="2"/>
  <c r="F72" i="2"/>
  <c r="H73" i="2"/>
  <c r="L81" i="2"/>
  <c r="G87" i="2"/>
  <c r="G85" i="2"/>
  <c r="G84" i="2"/>
  <c r="K82" i="2"/>
  <c r="K83" i="2"/>
  <c r="I42" i="2"/>
  <c r="L30" i="2"/>
  <c r="L28" i="2"/>
  <c r="L27" i="2"/>
  <c r="L26" i="2"/>
  <c r="L25" i="2"/>
  <c r="L24" i="2"/>
  <c r="L23" i="2"/>
  <c r="L22" i="2"/>
  <c r="L70" i="2"/>
  <c r="L74" i="2"/>
  <c r="K61" i="2"/>
  <c r="K59" i="2"/>
  <c r="K58" i="2"/>
  <c r="K57" i="2"/>
  <c r="K56" i="2"/>
  <c r="K55" i="2"/>
  <c r="K54" i="2"/>
  <c r="K53" i="2"/>
  <c r="L61" i="2"/>
  <c r="L59" i="2"/>
  <c r="L58" i="2"/>
  <c r="L57" i="2"/>
  <c r="L56" i="2"/>
  <c r="L55" i="2"/>
  <c r="L54" i="2"/>
  <c r="L53" i="2"/>
  <c r="L75" i="2"/>
  <c r="L92" i="2"/>
  <c r="L90" i="2"/>
  <c r="L89" i="2"/>
  <c r="L88" i="2"/>
  <c r="L87" i="2"/>
  <c r="L86" i="2"/>
  <c r="L85" i="2"/>
  <c r="L84" i="2"/>
  <c r="G88" i="2"/>
  <c r="G89" i="2"/>
  <c r="G90" i="2"/>
  <c r="G92" i="2"/>
  <c r="F28" i="2"/>
  <c r="E9" i="2"/>
  <c r="G10" i="2"/>
  <c r="I11" i="2"/>
  <c r="E13" i="2"/>
  <c r="I15" i="2"/>
  <c r="J18" i="2"/>
  <c r="G22" i="2"/>
  <c r="G23" i="2"/>
  <c r="G24" i="2"/>
  <c r="G25" i="2"/>
  <c r="G26" i="2"/>
  <c r="G27" i="2"/>
  <c r="G28" i="2"/>
  <c r="E40" i="2"/>
  <c r="G41" i="2"/>
  <c r="E44" i="2"/>
  <c r="I46" i="2"/>
  <c r="J49" i="2"/>
  <c r="G53" i="2"/>
  <c r="G54" i="2"/>
  <c r="G55" i="2"/>
  <c r="G60" i="2" s="1"/>
  <c r="G56" i="2"/>
  <c r="G57" i="2"/>
  <c r="G58" i="2"/>
  <c r="G59" i="2"/>
  <c r="G61" i="2"/>
  <c r="E71" i="2"/>
  <c r="G72" i="2"/>
  <c r="I73" i="2"/>
  <c r="E75" i="2"/>
  <c r="I77" i="2"/>
  <c r="J81" i="2"/>
  <c r="H84" i="2"/>
  <c r="H85" i="2"/>
  <c r="H86" i="2"/>
  <c r="H87" i="2"/>
  <c r="H88" i="2"/>
  <c r="H89" i="2"/>
  <c r="H90" i="2"/>
  <c r="F25" i="2"/>
  <c r="H77" i="2"/>
  <c r="F9" i="2"/>
  <c r="H10" i="2"/>
  <c r="F13" i="2"/>
  <c r="K18" i="2"/>
  <c r="J19" i="2"/>
  <c r="H22" i="2"/>
  <c r="H23" i="2"/>
  <c r="H24" i="2"/>
  <c r="H25" i="2"/>
  <c r="H26" i="2"/>
  <c r="H27" i="2"/>
  <c r="H28" i="2"/>
  <c r="F40" i="2"/>
  <c r="H41" i="2"/>
  <c r="F44" i="2"/>
  <c r="H53" i="2"/>
  <c r="H54" i="2"/>
  <c r="H55" i="2"/>
  <c r="H56" i="2"/>
  <c r="H57" i="2"/>
  <c r="H58" i="2"/>
  <c r="H59" i="2"/>
  <c r="L69" i="2"/>
  <c r="F71" i="2"/>
  <c r="H72" i="2"/>
  <c r="L73" i="2"/>
  <c r="F75" i="2"/>
  <c r="L77" i="2"/>
  <c r="K81" i="2"/>
  <c r="J82" i="2"/>
  <c r="I84" i="2"/>
  <c r="I85" i="2"/>
  <c r="I86" i="2"/>
  <c r="I87" i="2"/>
  <c r="I88" i="2"/>
  <c r="I89" i="2"/>
  <c r="I90" i="2"/>
  <c r="F26" i="2"/>
  <c r="E7" i="2"/>
  <c r="E8" i="2"/>
  <c r="G9" i="2"/>
  <c r="I10" i="2"/>
  <c r="E12" i="2"/>
  <c r="G13" i="2"/>
  <c r="J20" i="2"/>
  <c r="I22" i="2"/>
  <c r="I23" i="2"/>
  <c r="I24" i="2"/>
  <c r="I29" i="2" s="1"/>
  <c r="I25" i="2"/>
  <c r="I26" i="2"/>
  <c r="I27" i="2"/>
  <c r="I28" i="2"/>
  <c r="E38" i="2"/>
  <c r="E39" i="2"/>
  <c r="G40" i="2"/>
  <c r="I41" i="2"/>
  <c r="E43" i="2"/>
  <c r="G44" i="2"/>
  <c r="J51" i="2"/>
  <c r="I53" i="2"/>
  <c r="I54" i="2"/>
  <c r="I55" i="2"/>
  <c r="I60" i="2" s="1"/>
  <c r="I56" i="2"/>
  <c r="I57" i="2"/>
  <c r="I58" i="2"/>
  <c r="I59" i="2"/>
  <c r="E69" i="2"/>
  <c r="E70" i="2"/>
  <c r="G71" i="2"/>
  <c r="I72" i="2"/>
  <c r="E74" i="2"/>
  <c r="G75" i="2"/>
  <c r="J83" i="2"/>
  <c r="F30" i="2"/>
  <c r="F8" i="2"/>
  <c r="H9" i="2"/>
  <c r="F12" i="2"/>
  <c r="H13" i="2"/>
  <c r="J21" i="2"/>
  <c r="F38" i="2"/>
  <c r="F39" i="2"/>
  <c r="H40" i="2"/>
  <c r="F43" i="2"/>
  <c r="H44" i="2"/>
  <c r="J52" i="2"/>
  <c r="F69" i="2"/>
  <c r="F70" i="2"/>
  <c r="H71" i="2"/>
  <c r="L72" i="2"/>
  <c r="F74" i="2"/>
  <c r="H75" i="2"/>
  <c r="F7" i="2"/>
  <c r="L3" i="2"/>
  <c r="G7" i="2"/>
  <c r="G8" i="2"/>
  <c r="I9" i="2"/>
  <c r="E11" i="2"/>
  <c r="G12" i="2"/>
  <c r="I13" i="2"/>
  <c r="E15" i="2"/>
  <c r="K21" i="2"/>
  <c r="L34" i="2"/>
  <c r="G38" i="2"/>
  <c r="G39" i="2"/>
  <c r="I40" i="2"/>
  <c r="E42" i="2"/>
  <c r="G43" i="2"/>
  <c r="I44" i="2"/>
  <c r="E46" i="2"/>
  <c r="G69" i="2"/>
  <c r="G70" i="2"/>
  <c r="I71" i="2"/>
  <c r="E73" i="2"/>
  <c r="G74" i="2"/>
  <c r="I75" i="2"/>
  <c r="E77" i="2"/>
  <c r="F24" i="2"/>
  <c r="F29" i="2" s="1"/>
  <c r="H7" i="2"/>
  <c r="H8" i="2"/>
  <c r="F11" i="2"/>
  <c r="H38" i="2"/>
  <c r="H39" i="2"/>
  <c r="F42" i="2"/>
  <c r="H69" i="2"/>
  <c r="H70" i="2"/>
  <c r="L71" i="2"/>
  <c r="L76" i="2" s="1"/>
  <c r="F73" i="2"/>
  <c r="E84" i="2"/>
  <c r="E85" i="2"/>
  <c r="E86" i="2"/>
  <c r="E87" i="2"/>
  <c r="E88" i="2"/>
  <c r="E89" i="2"/>
  <c r="E90" i="2"/>
  <c r="I7" i="2"/>
  <c r="I8" i="2"/>
  <c r="G11" i="2"/>
  <c r="E22" i="2"/>
  <c r="E23" i="2"/>
  <c r="E24" i="2"/>
  <c r="E29" i="2" s="1"/>
  <c r="E25" i="2"/>
  <c r="E26" i="2"/>
  <c r="E27" i="2"/>
  <c r="E28" i="2"/>
  <c r="I38" i="2"/>
  <c r="I39" i="2"/>
  <c r="G42" i="2"/>
  <c r="E53" i="2"/>
  <c r="E54" i="2"/>
  <c r="E55" i="2"/>
  <c r="E56" i="2"/>
  <c r="E57" i="2"/>
  <c r="E58" i="2"/>
  <c r="E59" i="2"/>
  <c r="I69" i="2"/>
  <c r="I70" i="2"/>
  <c r="G73" i="2"/>
  <c r="F84" i="2"/>
  <c r="F85" i="2"/>
  <c r="F86" i="2"/>
  <c r="F91" i="2" s="1"/>
  <c r="F87" i="2"/>
  <c r="F88" i="2"/>
  <c r="F89" i="2"/>
  <c r="F90" i="2"/>
  <c r="I76" i="2" l="1"/>
  <c r="H76" i="2"/>
  <c r="L60" i="2"/>
  <c r="K60" i="2"/>
  <c r="F60" i="2"/>
  <c r="L91" i="2"/>
  <c r="L29" i="2"/>
  <c r="E60" i="2"/>
  <c r="L44" i="2"/>
  <c r="L40" i="2"/>
  <c r="L39" i="2"/>
  <c r="L41" i="2"/>
  <c r="L43" i="2"/>
  <c r="L46" i="2"/>
  <c r="L42" i="2"/>
  <c r="L38" i="2"/>
  <c r="G45" i="2"/>
  <c r="J92" i="2"/>
  <c r="J90" i="2"/>
  <c r="J89" i="2"/>
  <c r="J88" i="2"/>
  <c r="J87" i="2"/>
  <c r="J86" i="2"/>
  <c r="J85" i="2"/>
  <c r="J84" i="2"/>
  <c r="L103" i="2"/>
  <c r="L99" i="2"/>
  <c r="L95" i="2"/>
  <c r="L13" i="2"/>
  <c r="L9" i="2"/>
  <c r="L98" i="2"/>
  <c r="L10" i="2"/>
  <c r="L101" i="2"/>
  <c r="L97" i="2"/>
  <c r="L15" i="2"/>
  <c r="L11" i="2"/>
  <c r="L7" i="2"/>
  <c r="L8" i="2"/>
  <c r="L100" i="2"/>
  <c r="L96" i="2"/>
  <c r="G86" i="2"/>
  <c r="G91" i="2" s="1"/>
  <c r="L12" i="2"/>
  <c r="G76" i="2"/>
  <c r="K92" i="2"/>
  <c r="K90" i="2"/>
  <c r="K89" i="2"/>
  <c r="K88" i="2"/>
  <c r="K87" i="2"/>
  <c r="K86" i="2"/>
  <c r="K85" i="2"/>
  <c r="K84" i="2"/>
  <c r="F45" i="2"/>
  <c r="E45" i="2"/>
  <c r="J103" i="2"/>
  <c r="J99" i="2"/>
  <c r="J95" i="2"/>
  <c r="J98" i="2"/>
  <c r="J30" i="2"/>
  <c r="J28" i="2"/>
  <c r="J27" i="2"/>
  <c r="J26" i="2"/>
  <c r="J25" i="2"/>
  <c r="J24" i="2"/>
  <c r="J23" i="2"/>
  <c r="J22" i="2"/>
  <c r="J101" i="2"/>
  <c r="J97" i="2"/>
  <c r="J96" i="2"/>
  <c r="I14" i="2"/>
  <c r="K30" i="2"/>
  <c r="K28" i="2"/>
  <c r="K27" i="2"/>
  <c r="K26" i="2"/>
  <c r="K25" i="2"/>
  <c r="K24" i="2"/>
  <c r="K23" i="2"/>
  <c r="K22" i="2"/>
  <c r="H14" i="2"/>
  <c r="E91" i="2"/>
  <c r="H45" i="2"/>
  <c r="H60" i="2"/>
  <c r="H91" i="2"/>
  <c r="E76" i="2"/>
  <c r="I45" i="2"/>
  <c r="G14" i="2"/>
  <c r="I91" i="2"/>
  <c r="F14" i="2"/>
  <c r="J61" i="2"/>
  <c r="J59" i="2"/>
  <c r="J58" i="2"/>
  <c r="J57" i="2"/>
  <c r="J56" i="2"/>
  <c r="J55" i="2"/>
  <c r="J54" i="2"/>
  <c r="J53" i="2"/>
  <c r="J100" i="2"/>
  <c r="F76" i="2"/>
  <c r="H29" i="2"/>
  <c r="G29" i="2"/>
  <c r="E14" i="2"/>
  <c r="J60" i="2" l="1"/>
  <c r="K29" i="2"/>
  <c r="J102" i="2"/>
  <c r="J29" i="2"/>
  <c r="K91" i="2"/>
  <c r="J91" i="2"/>
  <c r="L102" i="2"/>
  <c r="L45" i="2"/>
  <c r="L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Dickinson, Laura</author>
  </authors>
  <commentList>
    <comment ref="J2" authorId="0" shapeId="0" xr:uid="{6A6FFE55-6FD8-48C5-9A4B-5EF5E347697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K2" authorId="0" shapeId="0" xr:uid="{CFDED219-5AC6-4190-94FF-B36722CBA4A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L2" authorId="0" shapeId="0" xr:uid="{B3268B7B-60B5-4226-B226-2D5E1394BFF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saliva/plasma</t>
        </r>
      </text>
    </comment>
    <comment ref="L3" authorId="0" shapeId="0" xr:uid="{934D43D6-D0B6-44BF-A59F-505BA8517CB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inlcuded in summary stats. No 1h for plasma but AUC equivalent to COVANCE</t>
        </r>
      </text>
    </comment>
    <comment ref="C4" authorId="0" shapeId="0" xr:uid="{A127C5D4-BCBD-4448-AE04-22717A5180BD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1h, 4h sample missing or excluded by BAF</t>
        </r>
      </text>
    </comment>
    <comment ref="E4" authorId="0" shapeId="0" xr:uid="{3993DF78-9C18-4C40-BF6F-71B49B268E1F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excluded from summary statistics due to no 1h or 4h sample</t>
        </r>
      </text>
    </comment>
    <comment ref="F4" authorId="0" shapeId="0" xr:uid="{0AC1F836-61D8-466D-A73E-6E86C3292735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excluded from summary statistics due to no 1h or 4h sample</t>
        </r>
      </text>
    </comment>
    <comment ref="G4" authorId="0" shapeId="0" xr:uid="{9219599A-3905-4651-AC06-F9F435DB5FA8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excluded from summary statistics due to no 1h or 4h sample</t>
        </r>
      </text>
    </comment>
    <comment ref="H4" authorId="0" shapeId="0" xr:uid="{9E9D9B23-75BA-4143-A4FA-CBE16CB1E708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excluded from summary statistics due to no 1h or 4h sample</t>
        </r>
      </text>
    </comment>
    <comment ref="I4" authorId="0" shapeId="0" xr:uid="{7E59E8C8-DEA8-4129-9925-39E61F4F1265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excluded from summary statistics due to no 1h or 4h sample</t>
        </r>
      </text>
    </comment>
    <comment ref="L4" authorId="0" shapeId="0" xr:uid="{1EADCB41-8E0A-4814-9AFC-AECB935E268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missing samples for saliva and missing 4h for plasma</t>
        </r>
      </text>
    </comment>
    <comment ref="L5" authorId="0" shapeId="0" xr:uid="{2CC17D1A-1425-4E91-B3C1-6C6555B461B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missing 0.5h, 1h for plasma &amp; AUC not equivalent to COVANCE</t>
        </r>
      </text>
    </comment>
    <comment ref="J17" authorId="0" shapeId="0" xr:uid="{30BE357C-C0FC-4C88-A142-0CC74A2B042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K17" authorId="0" shapeId="0" xr:uid="{BB79F60E-A2E8-4AAD-A25D-BADBFF8B6E29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L17" authorId="0" shapeId="0" xr:uid="{0330C80F-448A-4E19-BAFB-A42E2F1E344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saliva/plasma</t>
        </r>
      </text>
    </comment>
    <comment ref="L18" authorId="0" shapeId="0" xr:uid="{1B418452-5ECB-49B5-8D9D-346A5AA207C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missing 4h sample for plasma</t>
        </r>
      </text>
    </comment>
    <comment ref="C19" authorId="0" shapeId="0" xr:uid="{7DC1DEF9-B8F1-42F8-9C87-77C707D8B3F9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4 sample missing or excluded by BAF</t>
        </r>
      </text>
    </comment>
    <comment ref="E19" authorId="0" shapeId="0" xr:uid="{213C1C8C-E0AE-4425-80C2-06D6B45030FF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included in summary stats but no 4h sample</t>
        </r>
      </text>
    </comment>
    <comment ref="F19" authorId="0" shapeId="0" xr:uid="{DD6F4589-2FB7-4255-BA68-BB7D15668A7F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included in summary stats but no 4h sample</t>
        </r>
      </text>
    </comment>
    <comment ref="G19" authorId="0" shapeId="0" xr:uid="{8B13898A-4496-4375-AAE8-323129365ED5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excluded from summary statistics due to no 4h sample</t>
        </r>
      </text>
    </comment>
    <comment ref="H19" authorId="0" shapeId="0" xr:uid="{C0C98830-B5BF-4FCE-AC7D-8A2FCF2449DB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excluded from summary statistics due to no 4h sample</t>
        </r>
      </text>
    </comment>
    <comment ref="I19" authorId="0" shapeId="0" xr:uid="{E0E8B2DB-AC25-47AE-B10E-4B4788AB660D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excluded from summary statistics due to no 4h sample</t>
        </r>
      </text>
    </comment>
    <comment ref="J19" authorId="0" shapeId="0" xr:uid="{D8906E8B-2C52-4C72-8946-1802236F34CD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excluded from summary statistics due to no 4h sample</t>
        </r>
      </text>
    </comment>
    <comment ref="K19" authorId="0" shapeId="0" xr:uid="{9F8A9661-1035-4D60-9A32-CE32870B90E6}">
      <text>
        <r>
          <rPr>
            <b/>
            <sz val="9"/>
            <color indexed="81"/>
            <rFont val="Tahoma"/>
            <charset val="1"/>
          </rPr>
          <t>Dickinson, Laura:</t>
        </r>
        <r>
          <rPr>
            <sz val="9"/>
            <color indexed="81"/>
            <rFont val="Tahoma"/>
            <charset val="1"/>
          </rPr>
          <t xml:space="preserve">
included in summary stats but no 4h sample</t>
        </r>
      </text>
    </comment>
    <comment ref="L19" authorId="0" shapeId="0" xr:uid="{5A49DFB8-7249-4795-A2D4-F48AE3915FB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missing 4h sample for saliva and missing 1h for plasma &amp; not equivalent to COVANCE</t>
        </r>
      </text>
    </comment>
    <comment ref="L20" authorId="0" shapeId="0" xr:uid="{382E2E2C-1766-49CC-9A5B-7330A278A45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included in summary stats. No 0.5h sample for plasma but AUC equivalent to COVANCE</t>
        </r>
      </text>
    </comment>
    <comment ref="L21" authorId="0" shapeId="0" xr:uid="{03F5FB04-CE4A-4EEB-94E1-23CFDA99D0B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missing 4h sample for plasma</t>
        </r>
      </text>
    </comment>
    <comment ref="J33" authorId="0" shapeId="0" xr:uid="{0344D415-A7FA-4131-B06C-E703EA3900C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K33" authorId="0" shapeId="0" xr:uid="{047FA96C-B2ED-448F-9D34-D451DC576AA0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L33" authorId="0" shapeId="0" xr:uid="{816F02B6-CCAB-459E-B736-EA91F5BC1E2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saliva/plasma</t>
        </r>
      </text>
    </comment>
    <comment ref="L36" authorId="0" shapeId="0" xr:uid="{F78EA886-7F51-41A6-9517-1924903A47DD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missing 0.5h sample for plasma &amp; AUC not equivalent to COVANCE</t>
        </r>
      </text>
    </comment>
    <comment ref="J48" authorId="0" shapeId="0" xr:uid="{C32B1E1C-9B7C-4F4B-9E67-82D181D9AA4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K48" authorId="0" shapeId="0" xr:uid="{79015644-4FE0-4ED6-93A4-95F328B9ADDA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L48" authorId="0" shapeId="0" xr:uid="{C8030DDF-5E7A-4F02-AA94-96206A91E160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saliva/plasma</t>
        </r>
      </text>
    </comment>
    <comment ref="C52" authorId="0" shapeId="0" xr:uid="{6CEAD8AE-11EC-4672-874E-6CD5D52DEF7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2h sample missing or excluded by BAF</t>
        </r>
      </text>
    </comment>
    <comment ref="E52" authorId="0" shapeId="0" xr:uid="{B3A86562-F1A6-40C4-A481-A1DFF8B2157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2h sample</t>
        </r>
      </text>
    </comment>
    <comment ref="F52" authorId="0" shapeId="0" xr:uid="{B1F671B1-E077-4A83-99A1-23FF86780A8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2h sample</t>
        </r>
      </text>
    </comment>
    <comment ref="G52" authorId="0" shapeId="0" xr:uid="{4973DC08-2007-4656-92FE-4F9C8A00DC2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2h sample</t>
        </r>
      </text>
    </comment>
    <comment ref="H52" authorId="0" shapeId="0" xr:uid="{9E892E1D-51F3-4522-A305-EB087FD417E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2h sample</t>
        </r>
      </text>
    </comment>
    <comment ref="I52" authorId="0" shapeId="0" xr:uid="{7C545A38-7A2E-44E6-AB12-E1975F7BDC72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2h sample</t>
        </r>
      </text>
    </comment>
    <comment ref="J52" authorId="0" shapeId="0" xr:uid="{0DCB8CAC-FC32-4BBA-981A-147ECD74E67D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2h sample</t>
        </r>
      </text>
    </comment>
    <comment ref="K52" authorId="0" shapeId="0" xr:uid="{2BFE650A-6B0E-4CD0-A51D-F5571350602B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2h sample</t>
        </r>
      </text>
    </comment>
    <comment ref="L52" authorId="0" shapeId="0" xr:uid="{E2B4D72F-8A8E-4AEF-A014-AE21ECE439D0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missing 2h sample for saliva</t>
        </r>
      </text>
    </comment>
    <comment ref="J64" authorId="0" shapeId="0" xr:uid="{6058A274-22C5-4C8D-9AB0-8589A284312B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K64" authorId="0" shapeId="0" xr:uid="{C066BB15-DFCE-4A15-89B9-4F904A382391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L64" authorId="0" shapeId="0" xr:uid="{DBB5C1D0-33CE-430E-B90F-F3625413C73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saliva/plasma</t>
        </r>
      </text>
    </comment>
    <comment ref="J79" authorId="0" shapeId="0" xr:uid="{BF8CE236-21E5-4725-846F-9CC78818482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K79" authorId="0" shapeId="0" xr:uid="{8BA09158-A4F0-48A8-8B5F-E0C4263221CA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L79" authorId="0" shapeId="0" xr:uid="{83621321-36C4-481C-850E-E070BB28992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saliva/plasma</t>
        </r>
      </text>
    </comment>
    <comment ref="L83" authorId="0" shapeId="0" xr:uid="{43262F15-76AF-4EF1-A358-C8C54A62C5FA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inlcuded in summary stats. No 1h sample for plasma but AUC equivalent to COVANCE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Dickinson, Laura</author>
  </authors>
  <commentList>
    <comment ref="I2" authorId="0" shapeId="0" xr:uid="{8C517E69-CAF1-414B-B310-771CC20D5D1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2" authorId="0" shapeId="0" xr:uid="{5CF984C2-00BF-4E77-AFDB-A020884A210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2" authorId="0" shapeId="0" xr:uid="{2EAA2465-7281-4DDE-A9F9-C081A42BD48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C4" authorId="0" shapeId="0" xr:uid="{84F0DE24-0107-4A37-B620-235B14865F5D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1h &amp; 4h missing</t>
        </r>
      </text>
    </comment>
    <comment ref="E4" authorId="0" shapeId="0" xr:uid="{A589FDA4-EFAA-4932-8197-867597624A3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or 4h sample</t>
        </r>
      </text>
    </comment>
    <comment ref="F4" authorId="0" shapeId="0" xr:uid="{2906A251-D413-42B7-88CA-22AC9F4DC9C0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or 4h sample</t>
        </r>
      </text>
    </comment>
    <comment ref="G4" authorId="0" shapeId="0" xr:uid="{3DC10028-97D4-4DAF-8AC4-802C1D63361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or 4h sample</t>
        </r>
      </text>
    </comment>
    <comment ref="H4" authorId="0" shapeId="0" xr:uid="{CBF111EA-A79C-4E4E-9963-DA1BBF321464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or 4h sample</t>
        </r>
      </text>
    </comment>
    <comment ref="K4" authorId="0" shapeId="0" xr:uid="{CB1349AB-540B-4A25-AF3D-13FF3123F13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as no 1h or 4h for SAM and no 4h for plasma</t>
        </r>
      </text>
    </comment>
    <comment ref="K5" authorId="0" shapeId="0" xr:uid="{6F8D2169-501E-4489-A150-045F38F6571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0.5h or 1h for plasma</t>
        </r>
      </text>
    </comment>
    <comment ref="I17" authorId="0" shapeId="0" xr:uid="{3BD8B335-D2F3-458A-96F5-BDE5F3FB8CDA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17" authorId="0" shapeId="0" xr:uid="{7BC590E9-B347-4EB3-8386-85B23C47361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17" authorId="0" shapeId="0" xr:uid="{4AA14E7C-C40B-47EA-977F-6C9CC11AF33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K18" authorId="0" shapeId="0" xr:uid="{1D0D9327-2C63-42D7-9C04-69502544EF82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4h for plasma</t>
        </r>
      </text>
    </comment>
    <comment ref="C19" authorId="0" shapeId="0" xr:uid="{06B33C4C-F742-47CC-ADC3-0D09A570E63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4h sample missing</t>
        </r>
      </text>
    </comment>
    <comment ref="G19" authorId="0" shapeId="0" xr:uid="{73A1293A-791E-4B95-9940-E0B91C5ACB2A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as no 4h sample
</t>
        </r>
      </text>
    </comment>
    <comment ref="H19" authorId="0" shapeId="0" xr:uid="{CED10672-5245-45D4-906C-32D63A9B7FF4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as no 4h sample
</t>
        </r>
      </text>
    </comment>
    <comment ref="I19" authorId="0" shapeId="0" xr:uid="{A3F77D7F-00D2-40E6-AFA8-B9095CCF3F3A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&amp; 4h sample on day 1 and no 4h sample on day 5</t>
        </r>
      </text>
    </comment>
    <comment ref="J19" authorId="0" shapeId="0" xr:uid="{8E933595-DDE2-4093-8ABE-5EA36A0DAB8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&amp; 4h sample on day 1 and no 4h sample on day 5</t>
        </r>
      </text>
    </comment>
    <comment ref="K19" authorId="0" shapeId="0" xr:uid="{63DC2D15-ACD9-4E18-91C4-88EC7AF86C3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4h for SAM and no 1h for plasma and AUC not equivalent to COVANCE</t>
        </r>
      </text>
    </comment>
    <comment ref="K20" authorId="0" shapeId="0" xr:uid="{9DE298B3-E6A8-460E-84FF-E26FC28F783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included as plasma AUC equivalnet to COVANCE even with 0.5h sample missing</t>
        </r>
      </text>
    </comment>
    <comment ref="K21" authorId="0" shapeId="0" xr:uid="{253180DE-9626-4F2F-A6A9-A1B5AD104DC4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exlcuded as 4h sample missing for plasma &amp; AUC no equivalent to COVANCE</t>
        </r>
      </text>
    </comment>
    <comment ref="I33" authorId="0" shapeId="0" xr:uid="{6BC2796D-997D-4D6F-A0FC-3C56E4AFD23F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33" authorId="0" shapeId="0" xr:uid="{5AD09171-F0E0-4193-A7F4-5773ED34DA5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33" authorId="0" shapeId="0" xr:uid="{A10BA645-0285-4259-A73D-27CC7F8796D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K36" authorId="0" shapeId="0" xr:uid="{5113DD6C-15ED-43B0-BCBE-18283EDC9C0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as 0.5h missing for plasma &amp; not equivalent to COVANCE</t>
        </r>
      </text>
    </comment>
    <comment ref="I48" authorId="0" shapeId="0" xr:uid="{35318737-EBE4-46F7-9A4E-DB945DF5F45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48" authorId="0" shapeId="0" xr:uid="{B3586DB6-4359-4E8D-A674-123F563CF33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48" authorId="0" shapeId="0" xr:uid="{EF8DB068-3698-481C-887C-C03265038D51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I51" authorId="0" shapeId="0" xr:uid="{D63C3AAC-C615-4A05-853C-B6071FD7617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</t>
        </r>
      </text>
    </comment>
    <comment ref="J51" authorId="0" shapeId="0" xr:uid="{96EE98BB-6D80-4AE7-9886-193389D5D03B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</t>
        </r>
      </text>
    </comment>
    <comment ref="I64" authorId="0" shapeId="0" xr:uid="{8A2E3EDF-F933-4C45-BB55-6BBB074DEBC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64" authorId="0" shapeId="0" xr:uid="{F49F360B-8967-4DAF-9B74-1AB3CA85DF5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64" authorId="0" shapeId="0" xr:uid="{9C3C9265-FDB6-4CA2-86D2-573FD14474E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I79" authorId="0" shapeId="0" xr:uid="{037D72EB-D13A-47F3-8981-941DF055BF9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79" authorId="0" shapeId="0" xr:uid="{7FFA27D7-569C-455E-AD91-ABD0FD8E395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79" authorId="0" shapeId="0" xr:uid="{C21C6406-72E0-4E0E-882B-8C940D3E6CC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K83" authorId="0" shapeId="0" xr:uid="{96F65905-B897-4F54-A9F3-B34A20D1608A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included in summary stats. 1h sample missing for plasma but AUC is equivalent to COVANCE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Dickinson, Laura</author>
  </authors>
  <commentList>
    <comment ref="I2" authorId="0" shapeId="0" xr:uid="{B538CEA4-8B5A-4A59-869A-6FFBD2641FBF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2" authorId="0" shapeId="0" xr:uid="{60F4F55C-3793-419B-886C-06EC2C57A18B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2" authorId="0" shapeId="0" xr:uid="{CE17127B-5C8C-48BD-B3A5-2D191AD4453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C4" authorId="0" shapeId="0" xr:uid="{16F3BD97-CEED-47BE-A237-39AEC322A4D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1h &amp; 4h missing</t>
        </r>
      </text>
    </comment>
    <comment ref="E4" authorId="0" shapeId="0" xr:uid="{DF9EE2C6-4485-4AF7-835A-99D27C8EB0D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or 4h sample</t>
        </r>
      </text>
    </comment>
    <comment ref="F4" authorId="0" shapeId="0" xr:uid="{1F75CFB6-D597-4B90-83EE-12144C24235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or 4h sample</t>
        </r>
      </text>
    </comment>
    <comment ref="G4" authorId="0" shapeId="0" xr:uid="{2E36824A-0DED-46D0-9B01-DE09B76F99D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or 4h sample</t>
        </r>
      </text>
    </comment>
    <comment ref="H4" authorId="0" shapeId="0" xr:uid="{A53BFB61-9971-40D2-A1D0-E83F4E0BE740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 due to no 1h or 4h sample</t>
        </r>
      </text>
    </comment>
    <comment ref="K4" authorId="0" shapeId="0" xr:uid="{3F28B1E9-40B9-4EE2-BD4F-16C684163842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as no 1h or 4h for SAM and no 4h for plasma</t>
        </r>
      </text>
    </comment>
    <comment ref="K5" authorId="0" shapeId="0" xr:uid="{C979D319-572D-4487-B30C-A47DF2A386A1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0.5h or 1h for plasma</t>
        </r>
      </text>
    </comment>
    <comment ref="I17" authorId="0" shapeId="0" xr:uid="{B1C8C7CF-FF6F-4E2E-A562-CEE66D2A532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17" authorId="0" shapeId="0" xr:uid="{95F4A485-49BC-49F4-85C7-CF836B0F9230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17" authorId="0" shapeId="0" xr:uid="{D1D6EE59-6A36-4537-852B-498B963E177F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K18" authorId="0" shapeId="0" xr:uid="{F40ED9E7-4BA3-4C91-A1C2-7DCB3BCD4A8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4h for plasma</t>
        </r>
      </text>
    </comment>
    <comment ref="A19" authorId="0" shapeId="0" xr:uid="{6C3610A7-9B0B-4FBA-B81E-955AB91FB5E0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no samples - no sample volumes or samples not taken</t>
        </r>
      </text>
    </comment>
    <comment ref="K20" authorId="0" shapeId="0" xr:uid="{8927BB6A-A093-4865-BFC4-7187F2A38B3D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included as plasma AUC equivalnet to COVANCE even with 0.5h sample missing</t>
        </r>
      </text>
    </comment>
    <comment ref="K21" authorId="0" shapeId="0" xr:uid="{5D5CB2F1-C80E-4C21-A923-08E706DC88C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exlcuded as 4h sample missing for plasma &amp; AUC no equivalent to COVANCE</t>
        </r>
      </text>
    </comment>
    <comment ref="I33" authorId="0" shapeId="0" xr:uid="{C8602A09-CC0A-48C1-8BDC-1E05E38440B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33" authorId="0" shapeId="0" xr:uid="{23B22D98-3A7A-4886-8519-D38C4D5BB97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33" authorId="0" shapeId="0" xr:uid="{FABFFBCC-1973-4279-831C-63B352767582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C36" authorId="0" shapeId="0" xr:uid="{5291BF25-20EF-45C7-8997-AB628223FF6B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o.5h &amp; 1h missing</t>
        </r>
      </text>
    </comment>
    <comment ref="E36" authorId="0" shapeId="0" xr:uid="{3E4C6EFB-9CEC-4F82-9CCE-860D239192C2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0.5h &amp; 1h samples missing</t>
        </r>
      </text>
    </comment>
    <comment ref="F36" authorId="0" shapeId="0" xr:uid="{7AEF9660-CCEC-4F95-A4F4-56C602CDEA2B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0.5h &amp; 1h samples missing</t>
        </r>
      </text>
    </comment>
    <comment ref="G36" authorId="0" shapeId="0" xr:uid="{78063480-338F-4BCC-A218-280C5A00003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0.5h &amp; 1h samples missing</t>
        </r>
      </text>
    </comment>
    <comment ref="H36" authorId="0" shapeId="0" xr:uid="{E4DB62FF-6BD9-4504-BF9C-88AE073F62B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0.5h &amp; 1h samples missing</t>
        </r>
      </text>
    </comment>
    <comment ref="K36" authorId="0" shapeId="0" xr:uid="{00693198-192F-4B0B-A459-AF956E67C92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statistics. 0.5h, 1h missing for TT &amp; 0.5h missing for plasma &amp; AUC not equivalent to COVANCE</t>
        </r>
      </text>
    </comment>
    <comment ref="I48" authorId="0" shapeId="0" xr:uid="{CC97C235-73AA-4767-A867-68EEDA19E90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48" authorId="0" shapeId="0" xr:uid="{56D1C878-999C-4550-B05A-13558914A11F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48" authorId="0" shapeId="0" xr:uid="{E103AE40-C921-4822-AFFE-4B598EDAD14F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C50" authorId="0" shapeId="0" xr:uid="{1EA23DC9-3D6E-443B-A00B-6572E444BF91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1h &amp; 2h sample missing</t>
        </r>
      </text>
    </comment>
    <comment ref="E50" authorId="0" shapeId="0" xr:uid="{1C51BA84-4B9B-48F2-85A2-6730515D172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no 1h or 2h sample</t>
        </r>
      </text>
    </comment>
    <comment ref="F50" authorId="0" shapeId="0" xr:uid="{2D7BD2D4-D9EB-4471-90BB-F68DA50FC3B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no 1h or 2h sample</t>
        </r>
      </text>
    </comment>
    <comment ref="G50" authorId="0" shapeId="0" xr:uid="{09284FC7-A883-414B-BB00-39650F1EDE9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no 1h or 2h sample</t>
        </r>
      </text>
    </comment>
    <comment ref="H50" authorId="0" shapeId="0" xr:uid="{FD5E75FD-FC29-4E7B-A789-34128452524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no 1h or 2h sample</t>
        </r>
      </text>
    </comment>
    <comment ref="I50" authorId="0" shapeId="0" xr:uid="{0843EE8D-CC3F-404D-84E7-C6244BBA5F8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no 1h or 2h sample for day 5</t>
        </r>
      </text>
    </comment>
    <comment ref="J50" authorId="0" shapeId="0" xr:uid="{692D0D85-8866-4950-A19B-3639A76C72B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no 1h or 2h sample for day 5</t>
        </r>
      </text>
    </comment>
    <comment ref="K50" authorId="0" shapeId="0" xr:uid="{B74A3E5A-1776-474D-B46D-26372EDAE7CB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no 1h or 2h sample for day 5 TT</t>
        </r>
      </text>
    </comment>
    <comment ref="C51" authorId="0" shapeId="0" xr:uid="{C278C74A-E118-4BCE-A89E-C28770933ED1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0.5h, 1h, 2h, 4h samples missing</t>
        </r>
      </text>
    </comment>
    <comment ref="E51" authorId="0" shapeId="0" xr:uid="{9E3C77E3-C459-4D4B-919A-907AFB18D152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stats, only 0h sample available</t>
        </r>
      </text>
    </comment>
    <comment ref="F51" authorId="0" shapeId="0" xr:uid="{907FF84E-85FC-4126-9A34-D88605362C3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stats, only 0h sample available</t>
        </r>
      </text>
    </comment>
    <comment ref="G51" authorId="0" shapeId="0" xr:uid="{471433DF-0B64-4142-9BFE-F8F58D51A48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stats, only 0h sample available</t>
        </r>
      </text>
    </comment>
    <comment ref="H51" authorId="0" shapeId="0" xr:uid="{C5ABA3DE-A89D-4C28-99D3-03F0D71CEF06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stats, only 0h sample available</t>
        </r>
      </text>
    </comment>
    <comment ref="I51" authorId="0" shapeId="0" xr:uid="{BF2CDF2E-6AAC-4762-8FCB-78BBB6455F8A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</t>
        </r>
      </text>
    </comment>
    <comment ref="J51" authorId="0" shapeId="0" xr:uid="{2D23EB74-C6AC-4884-A5A1-1B8EA7EEA9B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statistics</t>
        </r>
      </text>
    </comment>
    <comment ref="K51" authorId="0" shapeId="0" xr:uid="{77796E0F-A326-4012-AD74-373DED3C9318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- only 0h available for TT, no AUC calculated</t>
        </r>
      </text>
    </comment>
    <comment ref="I64" authorId="0" shapeId="0" xr:uid="{31748096-EE18-4BDF-8AE7-CF314F7781D9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64" authorId="0" shapeId="0" xr:uid="{18D8E816-49BF-495D-B511-9DA5766697F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64" authorId="0" shapeId="0" xr:uid="{E131CE20-CABD-4FC1-9825-DBE85F72D791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C65" authorId="0" shapeId="0" xr:uid="{925E4265-884E-482C-869A-F584A6FDD179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1h and 2h sample missing</t>
        </r>
      </text>
    </comment>
    <comment ref="E65" authorId="0" shapeId="0" xr:uid="{009BF466-B880-4675-AAA0-57468800E46F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1h or 2h sample</t>
        </r>
      </text>
    </comment>
    <comment ref="F65" authorId="0" shapeId="0" xr:uid="{850CC6FC-F78B-48F6-BC62-FD9960EB6CB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1h or 2h sample</t>
        </r>
      </text>
    </comment>
    <comment ref="G65" authorId="0" shapeId="0" xr:uid="{DCB480A8-FBBD-4A67-84D3-741015EA0D59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1h or 2h sample</t>
        </r>
      </text>
    </comment>
    <comment ref="H65" authorId="0" shapeId="0" xr:uid="{0E307FE5-0A60-49DF-AFCC-C5C9D24DD3B9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1h or 2h sample</t>
        </r>
      </text>
    </comment>
    <comment ref="K65" authorId="0" shapeId="0" xr:uid="{13929F05-6E9A-4D19-B904-FC4655709BC0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as no 1h or 2h sample for TT</t>
        </r>
      </text>
    </comment>
    <comment ref="I79" authorId="0" shapeId="0" xr:uid="{553FCA57-9655-4359-97F5-C5EED3E31269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AUC Day 5/Day 1</t>
        </r>
      </text>
    </comment>
    <comment ref="J79" authorId="0" shapeId="0" xr:uid="{888D2535-2C9E-46CB-86AB-73E1C8443EB2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Accumulation ratio Cmax Day 5/Day 1</t>
        </r>
      </text>
    </comment>
    <comment ref="K79" authorId="0" shapeId="0" xr:uid="{4CA6B256-1DB6-4D8E-96EC-6CFB20D71087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Intercompartmental ratio AUC SAM/plasma</t>
        </r>
      </text>
    </comment>
    <comment ref="C81" authorId="0" shapeId="0" xr:uid="{C6297780-B748-4769-A48F-7AC80F73B064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0h sample missing</t>
        </r>
      </text>
    </comment>
    <comment ref="G81" authorId="0" shapeId="0" xr:uid="{F0F7F3B4-2B6F-4212-B1B7-066B589294F3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- no 0h sample</t>
        </r>
      </text>
    </comment>
    <comment ref="I81" authorId="0" shapeId="0" xr:uid="{98775D4A-4378-459E-B0C3-AF9A5D7FA60F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- no 0h sample</t>
        </r>
      </text>
    </comment>
    <comment ref="K81" authorId="0" shapeId="0" xr:uid="{F54F3C11-F14F-4756-AC40-EFFF82ABD624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- no 0h sample for TT</t>
        </r>
      </text>
    </comment>
    <comment ref="C82" authorId="0" shapeId="0" xr:uid="{54234A52-C7A6-4785-9BF5-CA1951BF4BD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4h sample missing</t>
        </r>
      </text>
    </comment>
    <comment ref="G82" authorId="0" shapeId="0" xr:uid="{8706594E-92AC-47B9-A130-7323859D57F2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- no 4h sample</t>
        </r>
      </text>
    </comment>
    <comment ref="H82" authorId="0" shapeId="0" xr:uid="{5DBA1648-F47F-4EC0-9CAF-811E5727C67C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- no 4h sample</t>
        </r>
      </text>
    </comment>
    <comment ref="I82" authorId="0" shapeId="0" xr:uid="{B5BC2271-55D2-4C83-9DE5-F139D7507F6B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- no 4h sample</t>
        </r>
      </text>
    </comment>
    <comment ref="K82" authorId="0" shapeId="0" xr:uid="{92F854B8-A816-43B8-94F1-FEBDA6138C9E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excluded from summary stats - no 4h sample for TT</t>
        </r>
      </text>
    </comment>
    <comment ref="K83" authorId="0" shapeId="0" xr:uid="{83AE74D3-8CC4-4932-A723-AF7648EB32B5}">
      <text>
        <r>
          <rPr>
            <b/>
            <sz val="9"/>
            <color indexed="81"/>
            <rFont val="Tahoma"/>
            <family val="2"/>
          </rPr>
          <t>Dickinson, Laura:</t>
        </r>
        <r>
          <rPr>
            <sz val="9"/>
            <color indexed="81"/>
            <rFont val="Tahoma"/>
            <family val="2"/>
          </rPr>
          <t xml:space="preserve">
included in summary stats. 1h sample missing for plasma but AUC is equivalent to COVANCE</t>
        </r>
      </text>
    </comment>
  </commentList>
</comments>
</file>

<file path=xl/sharedStrings.xml><?xml version="1.0" encoding="utf-8"?>
<sst xmlns="http://schemas.openxmlformats.org/spreadsheetml/2006/main" count="456" uniqueCount="36">
  <si>
    <t>300 MG DOSE</t>
  </si>
  <si>
    <t>Patient ID</t>
  </si>
  <si>
    <t>Nominal day</t>
  </si>
  <si>
    <t>n samples</t>
  </si>
  <si>
    <t>Dose (mg)</t>
  </si>
  <si>
    <r>
      <t>T</t>
    </r>
    <r>
      <rPr>
        <b/>
        <vertAlign val="subscript"/>
        <sz val="11"/>
        <rFont val="Calibri"/>
        <family val="2"/>
      </rPr>
      <t>max</t>
    </r>
    <r>
      <rPr>
        <b/>
        <sz val="11"/>
        <rFont val="Calibri"/>
        <family val="2"/>
      </rPr>
      <t xml:space="preserve"> (h)</t>
    </r>
  </si>
  <si>
    <r>
      <t>C</t>
    </r>
    <r>
      <rPr>
        <b/>
        <vertAlign val="subscript"/>
        <sz val="11"/>
        <rFont val="Calibri"/>
        <family val="2"/>
      </rPr>
      <t>max</t>
    </r>
    <r>
      <rPr>
        <b/>
        <sz val="11"/>
        <rFont val="Calibri"/>
        <family val="2"/>
      </rPr>
      <t xml:space="preserve"> (ng/mL)</t>
    </r>
  </si>
  <si>
    <r>
      <t>AUC</t>
    </r>
    <r>
      <rPr>
        <b/>
        <vertAlign val="subscript"/>
        <sz val="11"/>
        <rFont val="Calibri"/>
        <family val="2"/>
      </rPr>
      <t>0-last</t>
    </r>
    <r>
      <rPr>
        <b/>
        <sz val="11"/>
        <rFont val="Calibri"/>
        <family val="2"/>
      </rPr>
      <t xml:space="preserve"> (ng.h/mL)</t>
    </r>
  </si>
  <si>
    <r>
      <t>T</t>
    </r>
    <r>
      <rPr>
        <b/>
        <vertAlign val="subscript"/>
        <sz val="11"/>
        <rFont val="Calibri"/>
        <family val="2"/>
      </rPr>
      <t>last</t>
    </r>
    <r>
      <rPr>
        <b/>
        <sz val="11"/>
        <rFont val="Calibri"/>
        <family val="2"/>
      </rPr>
      <t xml:space="preserve"> (h)</t>
    </r>
  </si>
  <si>
    <r>
      <t>C</t>
    </r>
    <r>
      <rPr>
        <b/>
        <vertAlign val="subscript"/>
        <sz val="11"/>
        <rFont val="Calibri"/>
        <family val="2"/>
      </rPr>
      <t>last</t>
    </r>
    <r>
      <rPr>
        <b/>
        <sz val="11"/>
        <rFont val="Calibri"/>
        <family val="2"/>
      </rPr>
      <t xml:space="preserve"> (ng/mL)</t>
    </r>
  </si>
  <si>
    <r>
      <t>RA</t>
    </r>
    <r>
      <rPr>
        <b/>
        <vertAlign val="subscript"/>
        <sz val="11"/>
        <rFont val="Calibri"/>
        <family val="2"/>
      </rPr>
      <t>AUC</t>
    </r>
  </si>
  <si>
    <r>
      <t>RA</t>
    </r>
    <r>
      <rPr>
        <b/>
        <vertAlign val="subscript"/>
        <sz val="11"/>
        <rFont val="Calibri"/>
        <family val="2"/>
      </rPr>
      <t>Cmax</t>
    </r>
  </si>
  <si>
    <r>
      <t>R</t>
    </r>
    <r>
      <rPr>
        <b/>
        <vertAlign val="subscript"/>
        <sz val="11"/>
        <rFont val="Calibri"/>
        <family val="2"/>
      </rPr>
      <t>CMT</t>
    </r>
  </si>
  <si>
    <t>EID1049005</t>
  </si>
  <si>
    <t>EID1049006</t>
  </si>
  <si>
    <t>EID1049008</t>
  </si>
  <si>
    <t>EID1049011</t>
  </si>
  <si>
    <t>N</t>
  </si>
  <si>
    <t>mean</t>
  </si>
  <si>
    <t>s.d.</t>
  </si>
  <si>
    <t>min</t>
  </si>
  <si>
    <t>median</t>
  </si>
  <si>
    <t>max</t>
  </si>
  <si>
    <t>geometric mean</t>
  </si>
  <si>
    <t>CV%</t>
  </si>
  <si>
    <t>geometric CV%</t>
  </si>
  <si>
    <t>600 MG DOSE</t>
  </si>
  <si>
    <t>EID1049014</t>
  </si>
  <si>
    <t>EID1049015</t>
  </si>
  <si>
    <t>EID1049016</t>
  </si>
  <si>
    <t>EID1049018</t>
  </si>
  <si>
    <t>800 MG DOSE</t>
  </si>
  <si>
    <t>EID1049020</t>
  </si>
  <si>
    <t>EID1049021</t>
  </si>
  <si>
    <t>EID1049023</t>
  </si>
  <si>
    <t>EID1049024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</si>
</sst>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0.000"/>
    <numFmt numFmtId="167" formatCode="_-* #,##0.0_-;\-* #,##0.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vertAlign val="subscript"/>
      <sz val="11"/>
      <name val="Calibri"/>
      <family val="2"/>
    </font>
    <font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3" fillId="0" borderId="0" xfId="1" applyFont="1"/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 applyAlignment="1">
      <alignment horizontal="center"/>
    </xf>
    <xf numFmtId="2" fontId="5" fillId="0" borderId="5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0" fontId="5" fillId="0" borderId="0" xfId="1" applyFont="1"/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2" fontId="6" fillId="2" borderId="9" xfId="1" applyNumberFormat="1" applyFont="1" applyFill="1" applyBorder="1" applyAlignment="1">
      <alignment horizontal="center"/>
    </xf>
    <xf numFmtId="1" fontId="6" fillId="2" borderId="9" xfId="1" applyNumberFormat="1" applyFont="1" applyFill="1" applyBorder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2" fontId="6" fillId="2" borderId="11" xfId="1" applyNumberFormat="1" applyFont="1" applyFill="1" applyBorder="1" applyAlignment="1">
      <alignment horizontal="center"/>
    </xf>
    <xf numFmtId="0" fontId="7" fillId="0" borderId="9" xfId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0" fontId="5" fillId="0" borderId="12" xfId="1" applyFont="1" applyBorder="1"/>
    <xf numFmtId="0" fontId="5" fillId="0" borderId="13" xfId="1" applyFont="1" applyBorder="1" applyAlignment="1">
      <alignment horizontal="center"/>
    </xf>
    <xf numFmtId="2" fontId="5" fillId="0" borderId="13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2" fontId="5" fillId="0" borderId="14" xfId="1" applyNumberFormat="1" applyFont="1" applyBorder="1" applyAlignment="1">
      <alignment horizontal="center"/>
    </xf>
    <xf numFmtId="0" fontId="8" fillId="0" borderId="4" xfId="1" applyFont="1" applyBorder="1"/>
    <xf numFmtId="0" fontId="5" fillId="3" borderId="5" xfId="1" applyFont="1" applyFill="1" applyBorder="1"/>
    <xf numFmtId="0" fontId="5" fillId="3" borderId="5" xfId="1" applyFont="1" applyFill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0" fontId="8" fillId="0" borderId="8" xfId="1" applyFont="1" applyBorder="1"/>
    <xf numFmtId="0" fontId="5" fillId="3" borderId="9" xfId="1" applyFont="1" applyFill="1" applyBorder="1"/>
    <xf numFmtId="0" fontId="5" fillId="3" borderId="9" xfId="1" applyFont="1" applyFill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0" fontId="8" fillId="0" borderId="15" xfId="1" applyFont="1" applyBorder="1"/>
    <xf numFmtId="0" fontId="5" fillId="3" borderId="16" xfId="1" applyFont="1" applyFill="1" applyBorder="1"/>
    <xf numFmtId="0" fontId="5" fillId="3" borderId="16" xfId="1" applyFont="1" applyFill="1" applyBorder="1" applyAlignment="1">
      <alignment horizontal="center"/>
    </xf>
    <xf numFmtId="165" fontId="5" fillId="0" borderId="16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2" fontId="5" fillId="0" borderId="16" xfId="1" applyNumberFormat="1" applyFont="1" applyBorder="1" applyAlignment="1">
      <alignment horizontal="center"/>
    </xf>
    <xf numFmtId="2" fontId="5" fillId="0" borderId="17" xfId="1" applyNumberFormat="1" applyFont="1" applyBorder="1" applyAlignment="1">
      <alignment horizontal="center"/>
    </xf>
    <xf numFmtId="165" fontId="5" fillId="0" borderId="18" xfId="1" applyNumberFormat="1" applyFont="1" applyBorder="1" applyAlignment="1">
      <alignment horizontal="center"/>
    </xf>
    <xf numFmtId="0" fontId="8" fillId="0" borderId="12" xfId="1" applyFont="1" applyBorder="1"/>
    <xf numFmtId="0" fontId="5" fillId="3" borderId="13" xfId="1" applyFont="1" applyFill="1" applyBorder="1"/>
    <xf numFmtId="0" fontId="5" fillId="3" borderId="13" xfId="1" applyFont="1" applyFill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2" fontId="5" fillId="0" borderId="19" xfId="1" applyNumberFormat="1" applyFont="1" applyBorder="1" applyAlignment="1">
      <alignment horizontal="center"/>
    </xf>
    <xf numFmtId="165" fontId="5" fillId="0" borderId="14" xfId="1" applyNumberFormat="1" applyFont="1" applyBorder="1" applyAlignment="1">
      <alignment horizontal="center"/>
    </xf>
    <xf numFmtId="0" fontId="8" fillId="0" borderId="0" xfId="1" applyFont="1"/>
    <xf numFmtId="0" fontId="5" fillId="0" borderId="0" xfId="1" applyFont="1" applyAlignment="1">
      <alignment horizontal="center"/>
    </xf>
    <xf numFmtId="2" fontId="5" fillId="0" borderId="0" xfId="1" applyNumberFormat="1" applyFont="1" applyAlignment="1">
      <alignment horizontal="center"/>
    </xf>
    <xf numFmtId="2" fontId="6" fillId="2" borderId="20" xfId="1" applyNumberFormat="1" applyFont="1" applyFill="1" applyBorder="1" applyAlignment="1">
      <alignment horizontal="center"/>
    </xf>
    <xf numFmtId="2" fontId="6" fillId="0" borderId="9" xfId="1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2" fontId="6" fillId="2" borderId="21" xfId="1" applyNumberFormat="1" applyFont="1" applyFill="1" applyBorder="1" applyAlignment="1">
      <alignment horizontal="center"/>
    </xf>
    <xf numFmtId="2" fontId="6" fillId="0" borderId="21" xfId="1" applyNumberFormat="1" applyFont="1" applyBorder="1" applyAlignment="1">
      <alignment horizontal="center"/>
    </xf>
    <xf numFmtId="2" fontId="6" fillId="2" borderId="22" xfId="1" applyNumberFormat="1" applyFont="1" applyFill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7" fillId="0" borderId="9" xfId="1" applyNumberFormat="1" applyFont="1" applyBorder="1" applyAlignment="1">
      <alignment horizontal="center"/>
    </xf>
    <xf numFmtId="2" fontId="5" fillId="0" borderId="23" xfId="1" applyNumberFormat="1" applyFont="1" applyBorder="1" applyAlignment="1">
      <alignment horizontal="center"/>
    </xf>
    <xf numFmtId="2" fontId="5" fillId="0" borderId="22" xfId="1" applyNumberFormat="1" applyFont="1" applyBorder="1" applyAlignment="1">
      <alignment horizontal="center"/>
    </xf>
    <xf numFmtId="2" fontId="5" fillId="0" borderId="20" xfId="1" applyNumberFormat="1" applyFont="1" applyBorder="1" applyAlignment="1">
      <alignment horizontal="center"/>
    </xf>
    <xf numFmtId="0" fontId="7" fillId="0" borderId="8" xfId="1" applyFont="1" applyBorder="1"/>
    <xf numFmtId="1" fontId="7" fillId="0" borderId="9" xfId="1" applyNumberFormat="1" applyFont="1" applyBorder="1" applyAlignment="1">
      <alignment horizontal="center"/>
    </xf>
    <xf numFmtId="0" fontId="7" fillId="0" borderId="0" xfId="1" applyFont="1"/>
    <xf numFmtId="0" fontId="7" fillId="0" borderId="12" xfId="1" applyFont="1" applyBorder="1"/>
    <xf numFmtId="0" fontId="7" fillId="0" borderId="13" xfId="1" applyFont="1" applyBorder="1" applyAlignment="1">
      <alignment horizontal="center"/>
    </xf>
    <xf numFmtId="2" fontId="7" fillId="0" borderId="13" xfId="1" applyNumberFormat="1" applyFont="1" applyBorder="1" applyAlignment="1">
      <alignment horizontal="center"/>
    </xf>
    <xf numFmtId="1" fontId="7" fillId="0" borderId="13" xfId="1" applyNumberFormat="1" applyFont="1" applyBorder="1" applyAlignment="1">
      <alignment horizontal="center"/>
    </xf>
    <xf numFmtId="2" fontId="9" fillId="0" borderId="22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65" fontId="5" fillId="0" borderId="22" xfId="1" applyNumberFormat="1" applyFont="1" applyBorder="1" applyAlignment="1">
      <alignment horizontal="center"/>
    </xf>
    <xf numFmtId="2" fontId="7" fillId="0" borderId="20" xfId="1" applyNumberFormat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2" fontId="6" fillId="2" borderId="13" xfId="1" applyNumberFormat="1" applyFont="1" applyFill="1" applyBorder="1" applyAlignment="1">
      <alignment horizontal="center"/>
    </xf>
    <xf numFmtId="1" fontId="6" fillId="2" borderId="13" xfId="1" applyNumberFormat="1" applyFont="1" applyFill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2" fontId="6" fillId="0" borderId="22" xfId="1" applyNumberFormat="1" applyFont="1" applyBorder="1" applyAlignment="1">
      <alignment horizontal="center"/>
    </xf>
    <xf numFmtId="2" fontId="5" fillId="0" borderId="0" xfId="1" applyNumberFormat="1" applyFont="1"/>
    <xf numFmtId="166" fontId="5" fillId="0" borderId="0" xfId="1" applyNumberFormat="1" applyFont="1"/>
    <xf numFmtId="165" fontId="5" fillId="0" borderId="0" xfId="1" applyNumberFormat="1" applyFont="1"/>
    <xf numFmtId="167" fontId="5" fillId="0" borderId="0" xfId="2" applyNumberFormat="1" applyFont="1" applyFill="1" applyBorder="1"/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7" fillId="0" borderId="4" xfId="1" applyFont="1" applyBorder="1"/>
    <xf numFmtId="0" fontId="7" fillId="0" borderId="5" xfId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2" fontId="7" fillId="0" borderId="24" xfId="1" applyNumberFormat="1" applyFont="1" applyBorder="1" applyAlignment="1">
      <alignment horizontal="center"/>
    </xf>
    <xf numFmtId="2" fontId="6" fillId="4" borderId="9" xfId="1" applyNumberFormat="1" applyFont="1" applyFill="1" applyBorder="1" applyAlignment="1">
      <alignment horizontal="center"/>
    </xf>
    <xf numFmtId="1" fontId="6" fillId="4" borderId="9" xfId="1" applyNumberFormat="1" applyFont="1" applyFill="1" applyBorder="1" applyAlignment="1">
      <alignment horizontal="center"/>
    </xf>
    <xf numFmtId="2" fontId="6" fillId="4" borderId="11" xfId="1" applyNumberFormat="1" applyFont="1" applyFill="1" applyBorder="1" applyAlignment="1">
      <alignment horizontal="center"/>
    </xf>
    <xf numFmtId="2" fontId="7" fillId="0" borderId="25" xfId="1" applyNumberFormat="1" applyFont="1" applyBorder="1" applyAlignment="1">
      <alignment horizontal="center"/>
    </xf>
    <xf numFmtId="0" fontId="7" fillId="3" borderId="5" xfId="1" applyFont="1" applyFill="1" applyBorder="1"/>
    <xf numFmtId="0" fontId="7" fillId="3" borderId="5" xfId="1" applyFont="1" applyFill="1" applyBorder="1" applyAlignment="1">
      <alignment horizontal="center"/>
    </xf>
    <xf numFmtId="1" fontId="7" fillId="0" borderId="24" xfId="1" applyNumberFormat="1" applyFont="1" applyBorder="1" applyAlignment="1">
      <alignment horizontal="center"/>
    </xf>
    <xf numFmtId="0" fontId="7" fillId="3" borderId="9" xfId="1" applyFont="1" applyFill="1" applyBorder="1"/>
    <xf numFmtId="0" fontId="7" fillId="3" borderId="9" xfId="1" applyFont="1" applyFill="1" applyBorder="1" applyAlignment="1">
      <alignment horizontal="center"/>
    </xf>
    <xf numFmtId="2" fontId="7" fillId="0" borderId="11" xfId="1" applyNumberFormat="1" applyFont="1" applyBorder="1" applyAlignment="1">
      <alignment horizontal="center"/>
    </xf>
    <xf numFmtId="0" fontId="7" fillId="3" borderId="16" xfId="1" applyFont="1" applyFill="1" applyBorder="1"/>
    <xf numFmtId="0" fontId="7" fillId="3" borderId="16" xfId="1" applyFont="1" applyFill="1" applyBorder="1" applyAlignment="1">
      <alignment horizontal="center"/>
    </xf>
    <xf numFmtId="2" fontId="7" fillId="0" borderId="16" xfId="1" applyNumberFormat="1" applyFont="1" applyBorder="1" applyAlignment="1">
      <alignment horizontal="center"/>
    </xf>
    <xf numFmtId="1" fontId="7" fillId="0" borderId="16" xfId="1" applyNumberFormat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0" fontId="7" fillId="3" borderId="13" xfId="1" applyFont="1" applyFill="1" applyBorder="1"/>
    <xf numFmtId="0" fontId="7" fillId="3" borderId="13" xfId="1" applyFont="1" applyFill="1" applyBorder="1" applyAlignment="1">
      <alignment horizontal="center"/>
    </xf>
    <xf numFmtId="165" fontId="7" fillId="0" borderId="13" xfId="1" applyNumberFormat="1" applyFont="1" applyBorder="1" applyAlignment="1">
      <alignment horizontal="center"/>
    </xf>
    <xf numFmtId="165" fontId="7" fillId="0" borderId="25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3" fillId="0" borderId="26" xfId="3" applyFont="1" applyBorder="1" applyAlignment="1">
      <alignment horizontal="center"/>
    </xf>
    <xf numFmtId="2" fontId="6" fillId="4" borderId="27" xfId="1" applyNumberFormat="1" applyFont="1" applyFill="1" applyBorder="1" applyAlignment="1">
      <alignment horizontal="center"/>
    </xf>
    <xf numFmtId="2" fontId="6" fillId="4" borderId="21" xfId="1" applyNumberFormat="1" applyFont="1" applyFill="1" applyBorder="1" applyAlignment="1">
      <alignment horizontal="center"/>
    </xf>
    <xf numFmtId="2" fontId="7" fillId="0" borderId="21" xfId="1" applyNumberFormat="1" applyFont="1" applyBorder="1" applyAlignment="1">
      <alignment horizontal="center"/>
    </xf>
    <xf numFmtId="2" fontId="6" fillId="4" borderId="28" xfId="1" applyNumberFormat="1" applyFont="1" applyFill="1" applyBorder="1" applyAlignment="1">
      <alignment horizontal="center"/>
    </xf>
    <xf numFmtId="1" fontId="7" fillId="0" borderId="27" xfId="1" applyNumberFormat="1" applyFont="1" applyBorder="1" applyAlignment="1">
      <alignment horizontal="center"/>
    </xf>
    <xf numFmtId="2" fontId="7" fillId="0" borderId="27" xfId="1" applyNumberFormat="1" applyFont="1" applyBorder="1" applyAlignment="1">
      <alignment horizontal="center"/>
    </xf>
    <xf numFmtId="2" fontId="7" fillId="0" borderId="28" xfId="1" applyNumberFormat="1" applyFont="1" applyBorder="1" applyAlignment="1">
      <alignment horizontal="center"/>
    </xf>
    <xf numFmtId="1" fontId="7" fillId="0" borderId="21" xfId="1" applyNumberFormat="1" applyFont="1" applyBorder="1" applyAlignment="1">
      <alignment horizontal="center"/>
    </xf>
    <xf numFmtId="165" fontId="7" fillId="0" borderId="28" xfId="1" applyNumberFormat="1" applyFont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0" fontId="7" fillId="0" borderId="27" xfId="1" applyFont="1" applyBorder="1"/>
    <xf numFmtId="2" fontId="6" fillId="0" borderId="13" xfId="1" applyNumberFormat="1" applyFont="1" applyBorder="1" applyAlignment="1">
      <alignment horizontal="center"/>
    </xf>
    <xf numFmtId="2" fontId="6" fillId="0" borderId="28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2" fontId="6" fillId="4" borderId="5" xfId="1" applyNumberFormat="1" applyFont="1" applyFill="1" applyBorder="1" applyAlignment="1">
      <alignment horizontal="center"/>
    </xf>
    <xf numFmtId="1" fontId="6" fillId="4" borderId="5" xfId="1" applyNumberFormat="1" applyFont="1" applyFill="1" applyBorder="1" applyAlignment="1">
      <alignment horizontal="center"/>
    </xf>
  </cellXfs>
  <cellStyles count="4">
    <cellStyle name="Comma 2" xfId="2" xr:uid="{ED33C2FD-B2EB-4ED9-9774-CB41406CD98F}"/>
    <cellStyle name="Normal" xfId="0" builtinId="0"/>
    <cellStyle name="Normal 2" xfId="1" xr:uid="{01AEDA55-8BCF-452A-9894-31009CC5E9E8}"/>
    <cellStyle name="Normal 2 2" xfId="3" xr:uid="{A06EE094-CC1F-4A37-9641-24746CE330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BAF%20EIDD-1931%20saliva/AGILE%20PK%20Data%20With%20DoseInfo&amp;LABS%202021-02-15%20(PASSWORD%20PROTECTED)_LD_paper.xlsx?8EB150C8" TargetMode="External"/><Relationship Id="rId1" Type="http://schemas.openxmlformats.org/officeDocument/2006/relationships/externalLinkPath" Target="file:///\\8EB150C8\AGILE%20PK%20Data%20With%20DoseInfo&amp;LABS%202021-02-15%20(PASSWORD%20PROTECTED)_LD_pap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F%20EIDD-1931%20plasma/AGILE%20Samples_plasma_210104_LD_for%20pap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AF%20EIDD_1931%20swabs/SAM/AGILE%20CST2_nasal%20PK%20parameters_211013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AF%20EIDD_1931%20swabs/TT/AGILE%20CST2_tear%20PK%20parameters_211013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 - alltreatmentdays"/>
      <sheetName val="PK - onlytakenonday1&amp;day5"/>
      <sheetName val="DosingInfoOnly"/>
      <sheetName val="saliva_WNL"/>
      <sheetName val="saliva_WNL_final"/>
      <sheetName val="PK_parameters_WNL "/>
      <sheetName val="PK Parameters_nominal"/>
      <sheetName val="PK Parameters_actual"/>
      <sheetName val="Individual plots"/>
      <sheetName val="Mean plots"/>
      <sheetName val="edit log"/>
      <sheetName val="Amendment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O3">
            <v>5</v>
          </cell>
          <cell r="Q3">
            <v>2</v>
          </cell>
          <cell r="R3">
            <v>103.47</v>
          </cell>
          <cell r="S3">
            <v>4</v>
          </cell>
          <cell r="T3">
            <v>21.36</v>
          </cell>
          <cell r="U3">
            <v>222.155</v>
          </cell>
        </row>
        <row r="4">
          <cell r="O4">
            <v>5</v>
          </cell>
          <cell r="Q4">
            <v>2</v>
          </cell>
          <cell r="R4">
            <v>132.93</v>
          </cell>
          <cell r="S4">
            <v>4</v>
          </cell>
          <cell r="T4">
            <v>38.31</v>
          </cell>
          <cell r="U4">
            <v>288.96249999999998</v>
          </cell>
        </row>
        <row r="5">
          <cell r="O5">
            <v>3</v>
          </cell>
          <cell r="Q5">
            <v>2</v>
          </cell>
          <cell r="R5">
            <v>120.71</v>
          </cell>
          <cell r="S5">
            <v>2</v>
          </cell>
          <cell r="T5">
            <v>120.71</v>
          </cell>
          <cell r="U5">
            <v>94.152500000000003</v>
          </cell>
        </row>
        <row r="6">
          <cell r="O6">
            <v>4</v>
          </cell>
          <cell r="Q6">
            <v>1</v>
          </cell>
          <cell r="R6">
            <v>25.81</v>
          </cell>
          <cell r="S6">
            <v>2</v>
          </cell>
          <cell r="T6">
            <v>20.05</v>
          </cell>
          <cell r="U6">
            <v>36.475000000000001</v>
          </cell>
        </row>
        <row r="7">
          <cell r="O7">
            <v>5</v>
          </cell>
          <cell r="Q7">
            <v>1</v>
          </cell>
          <cell r="R7">
            <v>12.31</v>
          </cell>
          <cell r="S7">
            <v>4</v>
          </cell>
          <cell r="T7">
            <v>2.77</v>
          </cell>
          <cell r="U7">
            <v>28.147500000000001</v>
          </cell>
        </row>
        <row r="8">
          <cell r="O8">
            <v>5</v>
          </cell>
          <cell r="Q8">
            <v>1</v>
          </cell>
          <cell r="R8">
            <v>32.49</v>
          </cell>
          <cell r="S8">
            <v>4</v>
          </cell>
          <cell r="T8">
            <v>4.54</v>
          </cell>
          <cell r="U8">
            <v>63.59</v>
          </cell>
        </row>
        <row r="9">
          <cell r="O9">
            <v>5</v>
          </cell>
          <cell r="Q9">
            <v>1</v>
          </cell>
          <cell r="R9">
            <v>18.989999999999998</v>
          </cell>
          <cell r="S9">
            <v>4</v>
          </cell>
          <cell r="T9">
            <v>3.51</v>
          </cell>
          <cell r="U9">
            <v>44.912500000000001</v>
          </cell>
        </row>
        <row r="10">
          <cell r="O10">
            <v>5</v>
          </cell>
          <cell r="Q10">
            <v>2</v>
          </cell>
          <cell r="R10">
            <v>24.14</v>
          </cell>
          <cell r="S10">
            <v>4</v>
          </cell>
          <cell r="T10">
            <v>11.66</v>
          </cell>
          <cell r="U10">
            <v>65.44</v>
          </cell>
        </row>
        <row r="11">
          <cell r="O11">
            <v>5</v>
          </cell>
          <cell r="Q11">
            <v>2</v>
          </cell>
          <cell r="R11">
            <v>146.83000000000001</v>
          </cell>
          <cell r="S11">
            <v>4</v>
          </cell>
          <cell r="T11">
            <v>15.17</v>
          </cell>
          <cell r="U11">
            <v>283.4375</v>
          </cell>
        </row>
        <row r="12">
          <cell r="O12">
            <v>5</v>
          </cell>
          <cell r="Q12">
            <v>2</v>
          </cell>
          <cell r="R12">
            <v>70.47</v>
          </cell>
          <cell r="S12">
            <v>4</v>
          </cell>
          <cell r="T12">
            <v>16.16</v>
          </cell>
          <cell r="U12">
            <v>165.95750000000001</v>
          </cell>
        </row>
        <row r="13">
          <cell r="O13">
            <v>5</v>
          </cell>
          <cell r="Q13">
            <v>2</v>
          </cell>
          <cell r="R13">
            <v>469.13</v>
          </cell>
          <cell r="S13">
            <v>4</v>
          </cell>
          <cell r="T13">
            <v>26.94</v>
          </cell>
          <cell r="U13">
            <v>795.90499999999997</v>
          </cell>
        </row>
        <row r="14">
          <cell r="O14">
            <v>5</v>
          </cell>
          <cell r="Q14">
            <v>2</v>
          </cell>
          <cell r="R14">
            <v>114.65</v>
          </cell>
          <cell r="S14">
            <v>4</v>
          </cell>
          <cell r="T14">
            <v>17.05</v>
          </cell>
          <cell r="U14">
            <v>257.45499999999998</v>
          </cell>
        </row>
        <row r="15">
          <cell r="O15">
            <v>5</v>
          </cell>
          <cell r="Q15">
            <v>2</v>
          </cell>
          <cell r="R15">
            <v>11.36</v>
          </cell>
          <cell r="S15">
            <v>4</v>
          </cell>
          <cell r="T15">
            <v>4.51</v>
          </cell>
          <cell r="U15">
            <v>25.947500000000002</v>
          </cell>
        </row>
        <row r="16">
          <cell r="O16">
            <v>5</v>
          </cell>
          <cell r="Q16">
            <v>4</v>
          </cell>
          <cell r="R16">
            <v>13.66</v>
          </cell>
          <cell r="S16">
            <v>4</v>
          </cell>
          <cell r="T16">
            <v>13.66</v>
          </cell>
          <cell r="U16">
            <v>28.11</v>
          </cell>
        </row>
        <row r="17">
          <cell r="O17">
            <v>5</v>
          </cell>
          <cell r="Q17">
            <v>1</v>
          </cell>
          <cell r="R17">
            <v>35.81</v>
          </cell>
          <cell r="S17">
            <v>4</v>
          </cell>
          <cell r="T17">
            <v>5.96</v>
          </cell>
          <cell r="U17">
            <v>72.227500000000006</v>
          </cell>
        </row>
        <row r="18">
          <cell r="O18">
            <v>4</v>
          </cell>
          <cell r="Q18">
            <v>1</v>
          </cell>
          <cell r="R18">
            <v>23.1</v>
          </cell>
          <cell r="S18">
            <v>4</v>
          </cell>
          <cell r="T18">
            <v>4.9400000000000004</v>
          </cell>
          <cell r="U18">
            <v>51.322499999999998</v>
          </cell>
        </row>
        <row r="19">
          <cell r="O19">
            <v>5</v>
          </cell>
          <cell r="Q19">
            <v>2</v>
          </cell>
          <cell r="R19">
            <v>230.03</v>
          </cell>
          <cell r="S19">
            <v>4</v>
          </cell>
          <cell r="T19">
            <v>56.33</v>
          </cell>
          <cell r="U19">
            <v>527.54499999999996</v>
          </cell>
        </row>
        <row r="20">
          <cell r="O20">
            <v>5</v>
          </cell>
          <cell r="Q20">
            <v>2</v>
          </cell>
          <cell r="R20">
            <v>181.19</v>
          </cell>
          <cell r="S20">
            <v>4</v>
          </cell>
          <cell r="T20">
            <v>96.06</v>
          </cell>
          <cell r="U20">
            <v>385.06</v>
          </cell>
        </row>
        <row r="21">
          <cell r="O21">
            <v>5</v>
          </cell>
          <cell r="Q21">
            <v>2</v>
          </cell>
          <cell r="R21">
            <v>146.91</v>
          </cell>
          <cell r="S21">
            <v>4</v>
          </cell>
          <cell r="T21">
            <v>71.569999999999993</v>
          </cell>
          <cell r="U21">
            <v>344.3725</v>
          </cell>
        </row>
        <row r="22">
          <cell r="O22">
            <v>5</v>
          </cell>
          <cell r="Q22">
            <v>2</v>
          </cell>
          <cell r="R22">
            <v>76.819999999999993</v>
          </cell>
          <cell r="S22">
            <v>4</v>
          </cell>
          <cell r="T22">
            <v>13.04</v>
          </cell>
          <cell r="U22">
            <v>147.66749999999999</v>
          </cell>
        </row>
        <row r="23">
          <cell r="O23">
            <v>5</v>
          </cell>
          <cell r="Q23">
            <v>2</v>
          </cell>
          <cell r="R23">
            <v>94.22</v>
          </cell>
          <cell r="S23">
            <v>4</v>
          </cell>
          <cell r="T23">
            <v>19.84</v>
          </cell>
          <cell r="U23">
            <v>169.6575</v>
          </cell>
        </row>
        <row r="24">
          <cell r="O24">
            <v>5</v>
          </cell>
          <cell r="Q24">
            <v>1</v>
          </cell>
          <cell r="R24">
            <v>99.94</v>
          </cell>
          <cell r="S24">
            <v>4</v>
          </cell>
          <cell r="T24">
            <v>25.8</v>
          </cell>
          <cell r="U24">
            <v>231.91</v>
          </cell>
        </row>
        <row r="25">
          <cell r="O25">
            <v>5</v>
          </cell>
          <cell r="Q25">
            <v>2</v>
          </cell>
          <cell r="R25">
            <v>94.29</v>
          </cell>
          <cell r="S25">
            <v>4</v>
          </cell>
          <cell r="T25">
            <v>17.29</v>
          </cell>
          <cell r="U25">
            <v>226.44749999999999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ILE Samples_pl3_clean_210 (2)"/>
      <sheetName val="AGILE Samples_pl3_QC_210104"/>
      <sheetName val="AGILE Samples_pl3_QC_210104 (2)"/>
      <sheetName val="AGILE Samples_pl3_QC_210104 (3)"/>
      <sheetName val="AGILE Samples_pl3_QC_210104 (4)"/>
      <sheetName val="COVANCE raw data"/>
      <sheetName val="BAFexcluded vs COVANCE"/>
      <sheetName val="BAF vs COVANCE raw"/>
      <sheetName val="BAF vs COVANCE raw (2)"/>
      <sheetName val="BAF vs COVANCE raw (3)"/>
      <sheetName val="PK_Parameters_WNL"/>
      <sheetName val="PK_Parameters_WNL_exclconc"/>
      <sheetName val="PK parameter_nominal"/>
      <sheetName val="PK parameter_nominal (2)"/>
      <sheetName val="PK parameter_nominal (3)"/>
      <sheetName val="Tmax"/>
      <sheetName val="COVANCE_cohort1_NCA"/>
      <sheetName val="PK parameters_actual"/>
      <sheetName val="PK parameters_actual (2)"/>
      <sheetName val="Sheet1"/>
      <sheetName val="Individual plots"/>
      <sheetName val="Mean plots"/>
      <sheetName val="non-plasma vs. plasma"/>
      <sheetName val="non-plasma vs. plasma (2)"/>
      <sheetName val="non-plasma vs. plasma plots"/>
      <sheetName val="Edit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EID1049005</v>
          </cell>
        </row>
      </sheetData>
      <sheetData sheetId="9"/>
      <sheetData sheetId="10"/>
      <sheetData sheetId="11"/>
      <sheetData sheetId="12"/>
      <sheetData sheetId="13"/>
      <sheetData sheetId="14">
        <row r="3">
          <cell r="G3">
            <v>4204.4025000000001</v>
          </cell>
        </row>
        <row r="4">
          <cell r="G4">
            <v>904.67499999999995</v>
          </cell>
        </row>
        <row r="5">
          <cell r="G5">
            <v>1660.14</v>
          </cell>
        </row>
        <row r="6">
          <cell r="G6">
            <v>2184.5475000000001</v>
          </cell>
        </row>
        <row r="18">
          <cell r="G18">
            <v>2158.8220000000001</v>
          </cell>
        </row>
        <row r="19">
          <cell r="G19">
            <v>1915.3275000000001</v>
          </cell>
        </row>
        <row r="20">
          <cell r="G20">
            <v>2327.5949999999998</v>
          </cell>
        </row>
        <row r="21">
          <cell r="G21">
            <v>1236.095</v>
          </cell>
        </row>
        <row r="34">
          <cell r="G34">
            <v>4735.8249999999998</v>
          </cell>
        </row>
        <row r="35">
          <cell r="G35">
            <v>7201.82</v>
          </cell>
        </row>
        <row r="36">
          <cell r="G36">
            <v>5117.53</v>
          </cell>
        </row>
        <row r="37">
          <cell r="G37">
            <v>5402.62</v>
          </cell>
        </row>
        <row r="49">
          <cell r="G49">
            <v>4422.4274999999998</v>
          </cell>
        </row>
        <row r="50">
          <cell r="G50">
            <v>6944.3649999999998</v>
          </cell>
        </row>
        <row r="51">
          <cell r="G51">
            <v>2362.4575</v>
          </cell>
        </row>
        <row r="52">
          <cell r="G52">
            <v>4573.0074999999997</v>
          </cell>
        </row>
        <row r="65">
          <cell r="G65">
            <v>10610.86</v>
          </cell>
        </row>
        <row r="66">
          <cell r="G66">
            <v>8696.1625000000004</v>
          </cell>
        </row>
        <row r="67">
          <cell r="G67">
            <v>4890.8575000000001</v>
          </cell>
        </row>
        <row r="68">
          <cell r="G68">
            <v>9956.6849999999995</v>
          </cell>
        </row>
        <row r="81">
          <cell r="G81">
            <v>8403.5974999999999</v>
          </cell>
        </row>
        <row r="82">
          <cell r="G82">
            <v>5499.9375</v>
          </cell>
        </row>
        <row r="83">
          <cell r="G83">
            <v>7438.375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 - alltreatmentdays"/>
      <sheetName val="Full - alltreatmentdays (2)"/>
      <sheetName val="log"/>
      <sheetName val="WNL_results"/>
      <sheetName val="PK Parameters_nominal"/>
      <sheetName val="Individual plots"/>
      <sheetName val="Mean plots"/>
    </sheetNames>
    <sheetDataSet>
      <sheetData sheetId="0" refreshError="1"/>
      <sheetData sheetId="1" refreshError="1"/>
      <sheetData sheetId="2" refreshError="1"/>
      <sheetData sheetId="3">
        <row r="3">
          <cell r="D3">
            <v>5</v>
          </cell>
          <cell r="F3">
            <v>1</v>
          </cell>
          <cell r="G3">
            <v>777.33</v>
          </cell>
          <cell r="H3">
            <v>969.89750000000004</v>
          </cell>
          <cell r="I3">
            <v>4</v>
          </cell>
        </row>
        <row r="4">
          <cell r="D4">
            <v>5</v>
          </cell>
          <cell r="F4">
            <v>2</v>
          </cell>
          <cell r="G4">
            <v>456.16</v>
          </cell>
          <cell r="H4">
            <v>893.45</v>
          </cell>
          <cell r="I4">
            <v>4</v>
          </cell>
        </row>
        <row r="5">
          <cell r="D5">
            <v>3</v>
          </cell>
          <cell r="F5">
            <v>2</v>
          </cell>
          <cell r="G5">
            <v>508.05</v>
          </cell>
          <cell r="H5">
            <v>405.47750000000002</v>
          </cell>
          <cell r="I5">
            <v>2</v>
          </cell>
        </row>
        <row r="6">
          <cell r="D6">
            <v>4</v>
          </cell>
          <cell r="F6">
            <v>1</v>
          </cell>
          <cell r="G6">
            <v>1015.38</v>
          </cell>
          <cell r="H6">
            <v>1359.8675000000001</v>
          </cell>
          <cell r="I6">
            <v>2</v>
          </cell>
        </row>
        <row r="7">
          <cell r="D7">
            <v>5</v>
          </cell>
          <cell r="F7">
            <v>1</v>
          </cell>
          <cell r="G7">
            <v>394.95</v>
          </cell>
          <cell r="H7">
            <v>775.52750000000003</v>
          </cell>
          <cell r="I7">
            <v>4</v>
          </cell>
        </row>
        <row r="8">
          <cell r="D8">
            <v>5</v>
          </cell>
          <cell r="F8">
            <v>1</v>
          </cell>
          <cell r="G8">
            <v>388.61</v>
          </cell>
          <cell r="H8">
            <v>534.33500000000004</v>
          </cell>
          <cell r="I8">
            <v>4</v>
          </cell>
        </row>
        <row r="9">
          <cell r="D9">
            <v>5</v>
          </cell>
          <cell r="F9">
            <v>1</v>
          </cell>
          <cell r="G9">
            <v>1700</v>
          </cell>
          <cell r="H9">
            <v>1585.83</v>
          </cell>
          <cell r="I9">
            <v>4</v>
          </cell>
        </row>
        <row r="10">
          <cell r="D10">
            <v>5</v>
          </cell>
          <cell r="F10">
            <v>1</v>
          </cell>
          <cell r="G10">
            <v>303.77</v>
          </cell>
          <cell r="H10">
            <v>638.00250000000005</v>
          </cell>
          <cell r="I10">
            <v>4</v>
          </cell>
        </row>
        <row r="11">
          <cell r="D11">
            <v>5</v>
          </cell>
          <cell r="F11">
            <v>2</v>
          </cell>
          <cell r="G11">
            <v>239.04</v>
          </cell>
          <cell r="H11">
            <v>569.74749999999995</v>
          </cell>
          <cell r="I11">
            <v>4</v>
          </cell>
        </row>
        <row r="12">
          <cell r="D12">
            <v>5</v>
          </cell>
          <cell r="F12">
            <v>1</v>
          </cell>
          <cell r="G12">
            <v>218.94</v>
          </cell>
          <cell r="H12">
            <v>499.03250000000003</v>
          </cell>
          <cell r="I12">
            <v>4</v>
          </cell>
        </row>
        <row r="13">
          <cell r="D13">
            <v>5</v>
          </cell>
          <cell r="F13">
            <v>1</v>
          </cell>
          <cell r="G13">
            <v>916.85</v>
          </cell>
          <cell r="H13">
            <v>1271.2225000000001</v>
          </cell>
          <cell r="I13">
            <v>4</v>
          </cell>
        </row>
        <row r="14">
          <cell r="D14">
            <v>5</v>
          </cell>
          <cell r="F14">
            <v>1</v>
          </cell>
          <cell r="G14">
            <v>190.27</v>
          </cell>
          <cell r="H14">
            <v>380.685</v>
          </cell>
          <cell r="I14">
            <v>4</v>
          </cell>
        </row>
        <row r="15">
          <cell r="D15">
            <v>5</v>
          </cell>
          <cell r="F15">
            <v>1</v>
          </cell>
          <cell r="G15">
            <v>136.16999999999999</v>
          </cell>
          <cell r="H15">
            <v>188.5975</v>
          </cell>
          <cell r="I15">
            <v>4</v>
          </cell>
        </row>
        <row r="16">
          <cell r="D16">
            <v>5</v>
          </cell>
          <cell r="F16">
            <v>4</v>
          </cell>
          <cell r="G16">
            <v>713.11</v>
          </cell>
          <cell r="H16">
            <v>1629.7550000000001</v>
          </cell>
          <cell r="I16">
            <v>4</v>
          </cell>
        </row>
        <row r="17">
          <cell r="D17">
            <v>5</v>
          </cell>
          <cell r="F17">
            <v>1</v>
          </cell>
          <cell r="G17">
            <v>593.41</v>
          </cell>
          <cell r="H17">
            <v>1146.3225</v>
          </cell>
          <cell r="I17">
            <v>4</v>
          </cell>
        </row>
        <row r="18">
          <cell r="D18">
            <v>5</v>
          </cell>
          <cell r="F18">
            <v>1</v>
          </cell>
          <cell r="G18">
            <v>358.82</v>
          </cell>
          <cell r="H18">
            <v>850.42250000000001</v>
          </cell>
          <cell r="I18">
            <v>4</v>
          </cell>
        </row>
        <row r="19">
          <cell r="D19">
            <v>5</v>
          </cell>
          <cell r="F19">
            <v>1</v>
          </cell>
          <cell r="G19">
            <v>1841.18</v>
          </cell>
          <cell r="H19">
            <v>3854.79</v>
          </cell>
          <cell r="I19">
            <v>4</v>
          </cell>
        </row>
        <row r="20">
          <cell r="D20">
            <v>5</v>
          </cell>
          <cell r="F20">
            <v>2</v>
          </cell>
          <cell r="G20">
            <v>706.38</v>
          </cell>
          <cell r="H20">
            <v>1802.0975000000001</v>
          </cell>
          <cell r="I20">
            <v>4</v>
          </cell>
        </row>
        <row r="21">
          <cell r="D21">
            <v>5</v>
          </cell>
          <cell r="F21">
            <v>2</v>
          </cell>
          <cell r="G21">
            <v>528.30999999999995</v>
          </cell>
          <cell r="H21">
            <v>1261.7025000000001</v>
          </cell>
          <cell r="I21">
            <v>4</v>
          </cell>
        </row>
        <row r="22">
          <cell r="D22">
            <v>5</v>
          </cell>
          <cell r="F22">
            <v>1</v>
          </cell>
          <cell r="G22">
            <v>885.44</v>
          </cell>
          <cell r="H22">
            <v>1114.575</v>
          </cell>
          <cell r="I22">
            <v>4</v>
          </cell>
        </row>
        <row r="23">
          <cell r="D23">
            <v>5</v>
          </cell>
          <cell r="F23">
            <v>4</v>
          </cell>
          <cell r="G23">
            <v>405.26</v>
          </cell>
          <cell r="H23">
            <v>949.44749999999999</v>
          </cell>
          <cell r="I23">
            <v>4</v>
          </cell>
        </row>
        <row r="24">
          <cell r="D24">
            <v>5</v>
          </cell>
          <cell r="F24">
            <v>2</v>
          </cell>
          <cell r="G24">
            <v>1163.49</v>
          </cell>
          <cell r="H24">
            <v>2834.4324999999999</v>
          </cell>
          <cell r="I24">
            <v>4</v>
          </cell>
        </row>
        <row r="25">
          <cell r="D25">
            <v>5</v>
          </cell>
          <cell r="F25">
            <v>2</v>
          </cell>
          <cell r="G25">
            <v>1878.57</v>
          </cell>
          <cell r="H25">
            <v>3490.84</v>
          </cell>
          <cell r="I25">
            <v>4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 - alltreatmentdays"/>
      <sheetName val="Full - alltreatmentdays (2)"/>
      <sheetName val="log"/>
      <sheetName val="WNL_results"/>
      <sheetName val="PK parameters_nominal"/>
      <sheetName val="Individual plots"/>
      <sheetName val="Mean plots"/>
    </sheetNames>
    <sheetDataSet>
      <sheetData sheetId="0"/>
      <sheetData sheetId="1"/>
      <sheetData sheetId="2"/>
      <sheetData sheetId="3">
        <row r="3">
          <cell r="D3">
            <v>5</v>
          </cell>
          <cell r="F3">
            <v>2</v>
          </cell>
          <cell r="G3">
            <v>1020</v>
          </cell>
          <cell r="H3">
            <v>2515.83</v>
          </cell>
          <cell r="I3">
            <v>4</v>
          </cell>
        </row>
        <row r="4">
          <cell r="D4">
            <v>5</v>
          </cell>
          <cell r="F4">
            <v>1</v>
          </cell>
          <cell r="G4">
            <v>920</v>
          </cell>
          <cell r="H4">
            <v>1615.75</v>
          </cell>
          <cell r="I4">
            <v>4</v>
          </cell>
        </row>
        <row r="5">
          <cell r="D5">
            <v>3</v>
          </cell>
          <cell r="F5">
            <v>2</v>
          </cell>
          <cell r="G5">
            <v>394</v>
          </cell>
          <cell r="H5">
            <v>296.75</v>
          </cell>
          <cell r="I5">
            <v>2</v>
          </cell>
        </row>
        <row r="6">
          <cell r="D6">
            <v>5</v>
          </cell>
          <cell r="F6">
            <v>0.5</v>
          </cell>
          <cell r="G6">
            <v>445.45</v>
          </cell>
          <cell r="H6">
            <v>943.38499999999999</v>
          </cell>
          <cell r="I6">
            <v>4</v>
          </cell>
        </row>
        <row r="7">
          <cell r="D7">
            <v>5</v>
          </cell>
          <cell r="F7">
            <v>0.5</v>
          </cell>
          <cell r="G7">
            <v>1075</v>
          </cell>
          <cell r="H7">
            <v>901.42250000000001</v>
          </cell>
          <cell r="I7">
            <v>4</v>
          </cell>
        </row>
        <row r="8">
          <cell r="D8">
            <v>5</v>
          </cell>
          <cell r="F8">
            <v>0.5</v>
          </cell>
          <cell r="G8">
            <v>1650</v>
          </cell>
          <cell r="H8">
            <v>2186.86</v>
          </cell>
          <cell r="I8">
            <v>4</v>
          </cell>
        </row>
        <row r="9">
          <cell r="D9">
            <v>5</v>
          </cell>
          <cell r="F9">
            <v>2</v>
          </cell>
          <cell r="G9">
            <v>310</v>
          </cell>
          <cell r="H9">
            <v>844.25</v>
          </cell>
          <cell r="I9">
            <v>4</v>
          </cell>
        </row>
        <row r="10">
          <cell r="D10">
            <v>5</v>
          </cell>
          <cell r="F10">
            <v>4</v>
          </cell>
          <cell r="G10">
            <v>362</v>
          </cell>
          <cell r="H10">
            <v>931.04</v>
          </cell>
          <cell r="I10">
            <v>4</v>
          </cell>
        </row>
        <row r="11">
          <cell r="D11">
            <v>5</v>
          </cell>
          <cell r="F11">
            <v>2</v>
          </cell>
          <cell r="G11">
            <v>256</v>
          </cell>
          <cell r="H11">
            <v>519.88</v>
          </cell>
          <cell r="I11">
            <v>4</v>
          </cell>
        </row>
        <row r="12">
          <cell r="D12">
            <v>5</v>
          </cell>
          <cell r="F12">
            <v>2</v>
          </cell>
          <cell r="G12">
            <v>1260</v>
          </cell>
          <cell r="H12">
            <v>3276</v>
          </cell>
          <cell r="I12">
            <v>4</v>
          </cell>
        </row>
        <row r="13">
          <cell r="D13">
            <v>3</v>
          </cell>
          <cell r="F13">
            <v>0.5</v>
          </cell>
          <cell r="G13">
            <v>445</v>
          </cell>
          <cell r="H13">
            <v>1345.3125</v>
          </cell>
          <cell r="I13">
            <v>4</v>
          </cell>
        </row>
        <row r="14">
          <cell r="D14">
            <v>3</v>
          </cell>
          <cell r="F14">
            <v>2</v>
          </cell>
          <cell r="G14">
            <v>515</v>
          </cell>
          <cell r="H14">
            <v>1240</v>
          </cell>
          <cell r="I14">
            <v>4</v>
          </cell>
        </row>
        <row r="15">
          <cell r="D15">
            <v>1</v>
          </cell>
          <cell r="F15">
            <v>0</v>
          </cell>
          <cell r="G15">
            <v>1.25</v>
          </cell>
          <cell r="I15">
            <v>0</v>
          </cell>
        </row>
        <row r="16">
          <cell r="D16">
            <v>5</v>
          </cell>
          <cell r="F16">
            <v>0.5</v>
          </cell>
          <cell r="G16">
            <v>151.66999999999999</v>
          </cell>
          <cell r="H16">
            <v>481.47250000000003</v>
          </cell>
          <cell r="I16">
            <v>4</v>
          </cell>
        </row>
        <row r="17">
          <cell r="D17">
            <v>5</v>
          </cell>
          <cell r="F17">
            <v>1</v>
          </cell>
          <cell r="G17">
            <v>1007.5</v>
          </cell>
          <cell r="H17">
            <v>1079.9024999999999</v>
          </cell>
          <cell r="I17">
            <v>4</v>
          </cell>
        </row>
        <row r="18">
          <cell r="D18">
            <v>3</v>
          </cell>
          <cell r="F18">
            <v>4</v>
          </cell>
          <cell r="G18">
            <v>540.91</v>
          </cell>
          <cell r="H18">
            <v>1916.5925</v>
          </cell>
          <cell r="I18">
            <v>4</v>
          </cell>
        </row>
        <row r="19">
          <cell r="D19">
            <v>5</v>
          </cell>
          <cell r="F19">
            <v>1</v>
          </cell>
          <cell r="G19">
            <v>636.66999999999996</v>
          </cell>
          <cell r="H19">
            <v>1563.3025</v>
          </cell>
          <cell r="I19">
            <v>4</v>
          </cell>
        </row>
        <row r="20">
          <cell r="D20">
            <v>4</v>
          </cell>
          <cell r="F20">
            <v>1</v>
          </cell>
          <cell r="G20">
            <v>1547.5</v>
          </cell>
          <cell r="H20">
            <v>1936.75</v>
          </cell>
          <cell r="I20">
            <v>4</v>
          </cell>
        </row>
        <row r="21">
          <cell r="D21">
            <v>5</v>
          </cell>
          <cell r="F21">
            <v>1</v>
          </cell>
          <cell r="G21">
            <v>2760</v>
          </cell>
          <cell r="H21">
            <v>5147</v>
          </cell>
          <cell r="I21">
            <v>4</v>
          </cell>
        </row>
        <row r="22">
          <cell r="D22">
            <v>4</v>
          </cell>
          <cell r="F22">
            <v>1</v>
          </cell>
          <cell r="G22">
            <v>1783.33</v>
          </cell>
          <cell r="H22">
            <v>1861.6624999999999</v>
          </cell>
          <cell r="I22">
            <v>2</v>
          </cell>
        </row>
        <row r="23">
          <cell r="D23">
            <v>5</v>
          </cell>
          <cell r="F23">
            <v>1</v>
          </cell>
          <cell r="G23">
            <v>544.29</v>
          </cell>
          <cell r="H23">
            <v>898.4325</v>
          </cell>
          <cell r="I23">
            <v>4</v>
          </cell>
        </row>
        <row r="24">
          <cell r="D24">
            <v>5</v>
          </cell>
          <cell r="F24">
            <v>0.5</v>
          </cell>
          <cell r="G24">
            <v>736.67</v>
          </cell>
          <cell r="H24">
            <v>722.07500000000005</v>
          </cell>
          <cell r="I24">
            <v>4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53AFC-F28B-48B7-BAFA-6E1D5537720B}">
  <dimension ref="A1:L103"/>
  <sheetViews>
    <sheetView workbookViewId="0">
      <selection activeCell="D104" sqref="D104"/>
    </sheetView>
  </sheetViews>
  <sheetFormatPr defaultColWidth="8.7109375" defaultRowHeight="14.85"/>
  <cols>
    <col min="1" max="1" width="15" style="11" bestFit="1" customWidth="1"/>
    <col min="2" max="2" width="12.5703125" style="11" customWidth="1"/>
    <col min="3" max="3" width="13.42578125" style="11" customWidth="1"/>
    <col min="4" max="4" width="14.140625" style="11" customWidth="1"/>
    <col min="5" max="5" width="12.85546875" style="11" customWidth="1"/>
    <col min="6" max="6" width="12" style="11" bestFit="1" customWidth="1"/>
    <col min="7" max="7" width="16.140625" style="11" bestFit="1" customWidth="1"/>
    <col min="8" max="9" width="12" style="11" customWidth="1"/>
    <col min="10" max="12" width="15.140625" style="11" customWidth="1"/>
    <col min="13" max="16384" width="8.7109375" style="11"/>
  </cols>
  <sheetData>
    <row r="1" spans="1:12" s="1" customFormat="1" ht="15.6" thickBot="1">
      <c r="A1" s="1" t="s">
        <v>0</v>
      </c>
    </row>
    <row r="2" spans="1:12" s="1" customFormat="1" ht="17.45" thickBo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</row>
    <row r="3" spans="1:12">
      <c r="A3" s="5" t="s">
        <v>13</v>
      </c>
      <c r="B3" s="6">
        <v>1</v>
      </c>
      <c r="C3" s="6">
        <f>'[1]PK_parameters_WNL '!O3</f>
        <v>5</v>
      </c>
      <c r="D3" s="6">
        <v>300</v>
      </c>
      <c r="E3" s="7">
        <f>'[1]PK_parameters_WNL '!Q3</f>
        <v>2</v>
      </c>
      <c r="F3" s="8">
        <f>'[1]PK_parameters_WNL '!R3</f>
        <v>103.47</v>
      </c>
      <c r="G3" s="8">
        <f>'[1]PK_parameters_WNL '!U3</f>
        <v>222.155</v>
      </c>
      <c r="H3" s="7">
        <f>'[1]PK_parameters_WNL '!S3</f>
        <v>4</v>
      </c>
      <c r="I3" s="8">
        <f>'[1]PK_parameters_WNL '!T3</f>
        <v>21.36</v>
      </c>
      <c r="J3" s="7"/>
      <c r="K3" s="9"/>
      <c r="L3" s="10">
        <f>G3/'[2]PK parameter_nominal (3)'!$G$3</f>
        <v>5.283866137935176E-2</v>
      </c>
    </row>
    <row r="4" spans="1:12">
      <c r="A4" s="12" t="s">
        <v>14</v>
      </c>
      <c r="B4" s="13">
        <v>1</v>
      </c>
      <c r="C4" s="14">
        <f>'[1]PK_parameters_WNL '!O5</f>
        <v>3</v>
      </c>
      <c r="D4" s="13">
        <v>300</v>
      </c>
      <c r="E4" s="15">
        <f>'[1]PK_parameters_WNL '!Q5</f>
        <v>2</v>
      </c>
      <c r="F4" s="16">
        <f>'[1]PK_parameters_WNL '!R5</f>
        <v>120.71</v>
      </c>
      <c r="G4" s="16">
        <f>'[1]PK_parameters_WNL '!U5</f>
        <v>94.152500000000003</v>
      </c>
      <c r="H4" s="15">
        <f>'[1]PK_parameters_WNL '!S5</f>
        <v>2</v>
      </c>
      <c r="I4" s="16">
        <f>'[1]PK_parameters_WNL '!T5</f>
        <v>120.71</v>
      </c>
      <c r="J4" s="17"/>
      <c r="K4" s="18"/>
      <c r="L4" s="19">
        <f>G4/'[2]PK parameter_nominal (3)'!$G$4</f>
        <v>0.10407328598668031</v>
      </c>
    </row>
    <row r="5" spans="1:12">
      <c r="A5" s="12" t="s">
        <v>15</v>
      </c>
      <c r="B5" s="13">
        <v>1</v>
      </c>
      <c r="C5" s="20">
        <f>'[1]PK_parameters_WNL '!O7</f>
        <v>5</v>
      </c>
      <c r="D5" s="13">
        <v>300</v>
      </c>
      <c r="E5" s="17">
        <f>'[1]PK_parameters_WNL '!Q7</f>
        <v>1</v>
      </c>
      <c r="F5" s="21">
        <f>'[1]PK_parameters_WNL '!R7</f>
        <v>12.31</v>
      </c>
      <c r="G5" s="21">
        <f>'[1]PK_parameters_WNL '!U7</f>
        <v>28.147500000000001</v>
      </c>
      <c r="H5" s="17">
        <f>'[1]PK_parameters_WNL '!S7</f>
        <v>4</v>
      </c>
      <c r="I5" s="17">
        <f>'[1]PK_parameters_WNL '!T7</f>
        <v>2.77</v>
      </c>
      <c r="J5" s="17"/>
      <c r="K5" s="18"/>
      <c r="L5" s="19">
        <f>G5/'[2]PK parameter_nominal (3)'!$G$5</f>
        <v>1.6954895370269975E-2</v>
      </c>
    </row>
    <row r="6" spans="1:12" ht="15.6" thickBot="1">
      <c r="A6" s="22" t="s">
        <v>16</v>
      </c>
      <c r="B6" s="23">
        <v>1</v>
      </c>
      <c r="C6" s="23">
        <f>'[1]PK_parameters_WNL '!O9</f>
        <v>5</v>
      </c>
      <c r="D6" s="23">
        <v>300</v>
      </c>
      <c r="E6" s="24">
        <f>'[1]PK_parameters_WNL '!Q9</f>
        <v>1</v>
      </c>
      <c r="F6" s="25">
        <f>'[1]PK_parameters_WNL '!R9</f>
        <v>18.989999999999998</v>
      </c>
      <c r="G6" s="25">
        <f>'[1]PK_parameters_WNL '!U9</f>
        <v>44.912500000000001</v>
      </c>
      <c r="H6" s="24">
        <f>'[1]PK_parameters_WNL '!S9</f>
        <v>4</v>
      </c>
      <c r="I6" s="24">
        <f>'[1]PK_parameters_WNL '!T9</f>
        <v>3.51</v>
      </c>
      <c r="J6" s="24"/>
      <c r="K6" s="24"/>
      <c r="L6" s="26">
        <f>G6/'[2]PK parameter_nominal (3)'!$G$6</f>
        <v>2.0559177587120444E-2</v>
      </c>
    </row>
    <row r="7" spans="1:12">
      <c r="A7" s="27" t="s">
        <v>17</v>
      </c>
      <c r="B7" s="28"/>
      <c r="C7" s="29"/>
      <c r="D7" s="29"/>
      <c r="E7" s="8">
        <f t="shared" ref="E7:F7" si="0">COUNT(E3,E5:E6)</f>
        <v>3</v>
      </c>
      <c r="F7" s="8">
        <f t="shared" si="0"/>
        <v>3</v>
      </c>
      <c r="G7" s="8">
        <f>COUNT(G3,G5:G6)</f>
        <v>3</v>
      </c>
      <c r="H7" s="8">
        <f t="shared" ref="H7:I7" si="1">COUNT(H3,H5:H6)</f>
        <v>3</v>
      </c>
      <c r="I7" s="8">
        <f t="shared" si="1"/>
        <v>3</v>
      </c>
      <c r="J7" s="8">
        <f t="shared" ref="J7:K7" si="2">COUNT(J3:J6)</f>
        <v>0</v>
      </c>
      <c r="K7" s="30">
        <f t="shared" si="2"/>
        <v>0</v>
      </c>
      <c r="L7" s="31">
        <f>COUNT(L3,L6)</f>
        <v>2</v>
      </c>
    </row>
    <row r="8" spans="1:12">
      <c r="A8" s="32" t="s">
        <v>18</v>
      </c>
      <c r="B8" s="33"/>
      <c r="C8" s="34"/>
      <c r="D8" s="34"/>
      <c r="E8" s="17">
        <f t="shared" ref="E8:F8" si="3">AVERAGE(E3,E5:E6)</f>
        <v>1.3333333333333333</v>
      </c>
      <c r="F8" s="21">
        <f t="shared" si="3"/>
        <v>44.923333333333339</v>
      </c>
      <c r="G8" s="21">
        <f>AVERAGE(G3,G5:G6)</f>
        <v>98.405000000000015</v>
      </c>
      <c r="H8" s="17">
        <f t="shared" ref="H8:I8" si="4">AVERAGE(H3,H5:H6)</f>
        <v>4</v>
      </c>
      <c r="I8" s="21">
        <f t="shared" si="4"/>
        <v>9.2133333333333329</v>
      </c>
      <c r="J8" s="17"/>
      <c r="K8" s="18"/>
      <c r="L8" s="35">
        <f>AVERAGE(L3,L6)</f>
        <v>3.66989194832361E-2</v>
      </c>
    </row>
    <row r="9" spans="1:12">
      <c r="A9" s="32" t="s">
        <v>19</v>
      </c>
      <c r="B9" s="33"/>
      <c r="C9" s="34"/>
      <c r="D9" s="34"/>
      <c r="E9" s="17">
        <f t="shared" ref="E9:F9" si="5">STDEV(E3,E5:E6)</f>
        <v>0.57735026918962584</v>
      </c>
      <c r="F9" s="21">
        <f t="shared" si="5"/>
        <v>50.812791040576904</v>
      </c>
      <c r="G9" s="21">
        <f>STDEV(G3,G5:G6)</f>
        <v>107.49796826568397</v>
      </c>
      <c r="H9" s="17">
        <f t="shared" ref="H9:I9" si="6">STDEV(H3,H5:H6)</f>
        <v>0</v>
      </c>
      <c r="I9" s="21">
        <f t="shared" si="6"/>
        <v>10.525826966720162</v>
      </c>
      <c r="J9" s="17"/>
      <c r="K9" s="18"/>
      <c r="L9" s="35">
        <f>STDEV(L3,L6)</f>
        <v>2.2825041882688021E-2</v>
      </c>
    </row>
    <row r="10" spans="1:12">
      <c r="A10" s="32" t="s">
        <v>20</v>
      </c>
      <c r="B10" s="33"/>
      <c r="C10" s="34"/>
      <c r="D10" s="34"/>
      <c r="E10" s="17">
        <f t="shared" ref="E10:F10" si="7">MIN(E3,E5:E6)</f>
        <v>1</v>
      </c>
      <c r="F10" s="21">
        <f t="shared" si="7"/>
        <v>12.31</v>
      </c>
      <c r="G10" s="21">
        <f>MIN(G3,G5:G6)</f>
        <v>28.147500000000001</v>
      </c>
      <c r="H10" s="17">
        <f t="shared" ref="H10:I10" si="8">MIN(H3,H5:H6)</f>
        <v>4</v>
      </c>
      <c r="I10" s="21">
        <f t="shared" si="8"/>
        <v>2.77</v>
      </c>
      <c r="J10" s="17"/>
      <c r="K10" s="18"/>
      <c r="L10" s="35">
        <f>MIN(L3,L6)</f>
        <v>2.0559177587120444E-2</v>
      </c>
    </row>
    <row r="11" spans="1:12">
      <c r="A11" s="32" t="s">
        <v>21</v>
      </c>
      <c r="B11" s="33"/>
      <c r="C11" s="34"/>
      <c r="D11" s="34"/>
      <c r="E11" s="17">
        <f t="shared" ref="E11:F11" si="9">MEDIAN(E3,E5:E6)</f>
        <v>1</v>
      </c>
      <c r="F11" s="21">
        <f t="shared" si="9"/>
        <v>18.989999999999998</v>
      </c>
      <c r="G11" s="21">
        <f>MEDIAN(G3,G5:G6)</f>
        <v>44.912500000000001</v>
      </c>
      <c r="H11" s="17">
        <f t="shared" ref="H11:I11" si="10">MEDIAN(H3,H5:H6)</f>
        <v>4</v>
      </c>
      <c r="I11" s="21">
        <f t="shared" si="10"/>
        <v>3.51</v>
      </c>
      <c r="J11" s="17"/>
      <c r="K11" s="18"/>
      <c r="L11" s="35">
        <f>MEDIAN(L3,L6)</f>
        <v>3.66989194832361E-2</v>
      </c>
    </row>
    <row r="12" spans="1:12">
      <c r="A12" s="32" t="s">
        <v>22</v>
      </c>
      <c r="B12" s="33"/>
      <c r="C12" s="34"/>
      <c r="D12" s="34"/>
      <c r="E12" s="17">
        <f t="shared" ref="E12:F12" si="11">MAX(E3,E5:E6)</f>
        <v>2</v>
      </c>
      <c r="F12" s="21">
        <f t="shared" si="11"/>
        <v>103.47</v>
      </c>
      <c r="G12" s="21">
        <f>MAX(G3,G5:G6)</f>
        <v>222.155</v>
      </c>
      <c r="H12" s="17">
        <f t="shared" ref="H12:I12" si="12">MAX(H3,H5:H6)</f>
        <v>4</v>
      </c>
      <c r="I12" s="21">
        <f t="shared" si="12"/>
        <v>21.36</v>
      </c>
      <c r="J12" s="17"/>
      <c r="K12" s="18"/>
      <c r="L12" s="35">
        <f>MAX(L3,L6)</f>
        <v>5.283866137935176E-2</v>
      </c>
    </row>
    <row r="13" spans="1:12">
      <c r="A13" s="32" t="s">
        <v>23</v>
      </c>
      <c r="B13" s="33"/>
      <c r="C13" s="34"/>
      <c r="D13" s="34"/>
      <c r="E13" s="17">
        <f t="shared" ref="E13:F13" si="13">GEOMEAN(E3,E5:E6)</f>
        <v>1.2599210498948732</v>
      </c>
      <c r="F13" s="21">
        <f t="shared" si="13"/>
        <v>28.920057731759201</v>
      </c>
      <c r="G13" s="21">
        <f>GEOMEAN(G3,G5:G6)</f>
        <v>65.486892614446276</v>
      </c>
      <c r="H13" s="17">
        <f t="shared" ref="H13:I13" si="14">GEOMEAN(H3,H5:H6)</f>
        <v>4</v>
      </c>
      <c r="I13" s="21">
        <f t="shared" si="14"/>
        <v>5.9219223882192145</v>
      </c>
      <c r="J13" s="17"/>
      <c r="K13" s="18"/>
      <c r="L13" s="35">
        <f>GEOMEAN(L3,L6)</f>
        <v>3.2959360169211652E-2</v>
      </c>
    </row>
    <row r="14" spans="1:12">
      <c r="A14" s="36" t="s">
        <v>24</v>
      </c>
      <c r="B14" s="37"/>
      <c r="C14" s="38"/>
      <c r="D14" s="38"/>
      <c r="E14" s="39">
        <f>(E9/E8)*100</f>
        <v>43.301270189221938</v>
      </c>
      <c r="F14" s="40">
        <f t="shared" ref="F14:I14" si="15">(F9/F8)*100</f>
        <v>113.11001938245211</v>
      </c>
      <c r="G14" s="40">
        <f t="shared" si="15"/>
        <v>109.2403518781403</v>
      </c>
      <c r="H14" s="41">
        <f t="shared" si="15"/>
        <v>0</v>
      </c>
      <c r="I14" s="40">
        <f t="shared" si="15"/>
        <v>114.24558936382232</v>
      </c>
      <c r="J14" s="41"/>
      <c r="K14" s="42"/>
      <c r="L14" s="43">
        <f t="shared" ref="L14" si="16">(L9/L8)*100</f>
        <v>62.195405761508582</v>
      </c>
    </row>
    <row r="15" spans="1:12" ht="15.6" thickBot="1">
      <c r="A15" s="44" t="s">
        <v>25</v>
      </c>
      <c r="B15" s="45"/>
      <c r="C15" s="46"/>
      <c r="D15" s="46"/>
      <c r="E15" s="47">
        <f t="shared" ref="E15:F15" si="17">SQRT(EXP((STDEV(LN(E3),LN(E5),LN(E6)))^2)-1)*100</f>
        <v>41.675903104530711</v>
      </c>
      <c r="F15" s="47">
        <f t="shared" si="17"/>
        <v>159.55013544969819</v>
      </c>
      <c r="G15" s="47">
        <f>SQRT(EXP((STDEV(LN(G3),LN(G5),LN(G6)))^2)-1)*100</f>
        <v>149.46092800252134</v>
      </c>
      <c r="H15" s="24">
        <f t="shared" ref="H15:I15" si="18">SQRT(EXP((STDEV(LN(H3),LN(H5),LN(H6)))^2)-1)*100</f>
        <v>0</v>
      </c>
      <c r="I15" s="47">
        <f t="shared" si="18"/>
        <v>157.6213644339019</v>
      </c>
      <c r="J15" s="24"/>
      <c r="K15" s="48"/>
      <c r="L15" s="49">
        <f>SQRT(EXP((STDEV(LN(L3),LN(L6)))^2)-1)*100</f>
        <v>74.918759179111262</v>
      </c>
    </row>
    <row r="16" spans="1:12" ht="15.6" thickBot="1">
      <c r="A16" s="50"/>
      <c r="C16" s="51"/>
      <c r="D16" s="51"/>
      <c r="E16" s="52"/>
      <c r="F16" s="52"/>
      <c r="G16" s="52"/>
      <c r="H16" s="52"/>
      <c r="I16" s="52"/>
      <c r="J16" s="52"/>
      <c r="K16" s="52"/>
      <c r="L16" s="52"/>
    </row>
    <row r="17" spans="1:12" ht="17.45" thickBot="1">
      <c r="A17" s="2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3" t="s">
        <v>8</v>
      </c>
      <c r="I17" s="3" t="s">
        <v>9</v>
      </c>
      <c r="J17" s="3" t="s">
        <v>10</v>
      </c>
      <c r="K17" s="3" t="s">
        <v>11</v>
      </c>
      <c r="L17" s="4" t="s">
        <v>12</v>
      </c>
    </row>
    <row r="18" spans="1:12">
      <c r="A18" s="5" t="s">
        <v>13</v>
      </c>
      <c r="B18" s="6">
        <v>5</v>
      </c>
      <c r="C18" s="6">
        <f>'[1]PK_parameters_WNL '!O4</f>
        <v>5</v>
      </c>
      <c r="D18" s="6">
        <v>300</v>
      </c>
      <c r="E18" s="7">
        <f>'[1]PK_parameters_WNL '!Q4</f>
        <v>2</v>
      </c>
      <c r="F18" s="8">
        <f>'[1]PK_parameters_WNL '!R4</f>
        <v>132.93</v>
      </c>
      <c r="G18" s="8">
        <f>'[1]PK_parameters_WNL '!U4</f>
        <v>288.96249999999998</v>
      </c>
      <c r="H18" s="7">
        <f>'[1]PK_parameters_WNL '!S4</f>
        <v>4</v>
      </c>
      <c r="I18" s="8">
        <f>'[1]PK_parameters_WNL '!T4</f>
        <v>38.31</v>
      </c>
      <c r="J18" s="7">
        <f>G18/G3</f>
        <v>1.3007247192275662</v>
      </c>
      <c r="K18" s="7">
        <f>F18/F3</f>
        <v>1.2847202087561613</v>
      </c>
      <c r="L18" s="53">
        <f>G18/'[2]PK parameter_nominal (3)'!$G$18</f>
        <v>0.13385193406404047</v>
      </c>
    </row>
    <row r="19" spans="1:12">
      <c r="A19" s="12" t="s">
        <v>14</v>
      </c>
      <c r="B19" s="13">
        <v>5</v>
      </c>
      <c r="C19" s="14">
        <f>'[1]PK_parameters_WNL '!O6</f>
        <v>4</v>
      </c>
      <c r="D19" s="13">
        <v>300</v>
      </c>
      <c r="E19" s="54">
        <f>'[1]PK_parameters_WNL '!Q6</f>
        <v>1</v>
      </c>
      <c r="F19" s="55">
        <f>'[1]PK_parameters_WNL '!R6</f>
        <v>25.81</v>
      </c>
      <c r="G19" s="16">
        <f>'[1]PK_parameters_WNL '!U6</f>
        <v>36.475000000000001</v>
      </c>
      <c r="H19" s="15">
        <f>'[1]PK_parameters_WNL '!S6</f>
        <v>2</v>
      </c>
      <c r="I19" s="16">
        <f>'[1]PK_parameters_WNL '!T6</f>
        <v>20.05</v>
      </c>
      <c r="J19" s="15">
        <f>G19/G4</f>
        <v>0.38740341467300393</v>
      </c>
      <c r="K19" s="54">
        <f>F19/F4</f>
        <v>0.21381824206776573</v>
      </c>
      <c r="L19" s="56">
        <f>G19/'[2]PK parameter_nominal (3)'!$G$19</f>
        <v>1.904374056134003E-2</v>
      </c>
    </row>
    <row r="20" spans="1:12">
      <c r="A20" s="12" t="s">
        <v>15</v>
      </c>
      <c r="B20" s="13">
        <v>5</v>
      </c>
      <c r="C20" s="13">
        <f>'[1]PK_parameters_WNL '!O8</f>
        <v>5</v>
      </c>
      <c r="D20" s="13">
        <v>300</v>
      </c>
      <c r="E20" s="17">
        <f>'[1]PK_parameters_WNL '!Q8</f>
        <v>1</v>
      </c>
      <c r="F20" s="21">
        <f>'[1]PK_parameters_WNL '!R8</f>
        <v>32.49</v>
      </c>
      <c r="G20" s="21">
        <f>'[1]PK_parameters_WNL '!U8</f>
        <v>63.59</v>
      </c>
      <c r="H20" s="17">
        <f>'[1]PK_parameters_WNL '!S8</f>
        <v>4</v>
      </c>
      <c r="I20" s="17">
        <f>'[1]PK_parameters_WNL '!T8</f>
        <v>4.54</v>
      </c>
      <c r="J20" s="17">
        <f>G20/G5</f>
        <v>2.2591704414246383</v>
      </c>
      <c r="K20" s="17">
        <f>F20/F5</f>
        <v>2.6393176279447603</v>
      </c>
      <c r="L20" s="57">
        <f>G20/'[2]PK parameter_nominal (3)'!$G$20</f>
        <v>2.7320044939089492E-2</v>
      </c>
    </row>
    <row r="21" spans="1:12" ht="15.6" thickBot="1">
      <c r="A21" s="22" t="s">
        <v>16</v>
      </c>
      <c r="B21" s="23">
        <v>5</v>
      </c>
      <c r="C21" s="23">
        <f>'[1]PK_parameters_WNL '!O10</f>
        <v>5</v>
      </c>
      <c r="D21" s="23">
        <v>300</v>
      </c>
      <c r="E21" s="24">
        <f>'[1]PK_parameters_WNL '!Q10</f>
        <v>2</v>
      </c>
      <c r="F21" s="25">
        <f>'[1]PK_parameters_WNL '!R10</f>
        <v>24.14</v>
      </c>
      <c r="G21" s="25">
        <f>'[1]PK_parameters_WNL '!U10</f>
        <v>65.44</v>
      </c>
      <c r="H21" s="24">
        <f>'[1]PK_parameters_WNL '!S10</f>
        <v>4</v>
      </c>
      <c r="I21" s="25">
        <f>'[1]PK_parameters_WNL '!T10</f>
        <v>11.66</v>
      </c>
      <c r="J21" s="24">
        <f>G21/G6</f>
        <v>1.4570553854717505</v>
      </c>
      <c r="K21" s="24">
        <f>F21/F6</f>
        <v>1.271195365982096</v>
      </c>
      <c r="L21" s="58">
        <f>G21/'[2]PK parameter_nominal (3)'!$G$21</f>
        <v>5.2940914735517895E-2</v>
      </c>
    </row>
    <row r="22" spans="1:12">
      <c r="A22" s="27" t="s">
        <v>17</v>
      </c>
      <c r="B22" s="28"/>
      <c r="C22" s="29"/>
      <c r="D22" s="29"/>
      <c r="E22" s="8">
        <f>COUNT(E18:E21)</f>
        <v>4</v>
      </c>
      <c r="F22" s="8">
        <f>COUNT(F18:F21)</f>
        <v>4</v>
      </c>
      <c r="G22" s="8">
        <f>COUNT(G18,G20:G21)</f>
        <v>3</v>
      </c>
      <c r="H22" s="8">
        <f t="shared" ref="H22:J22" si="19">COUNT(H18,H20:H21)</f>
        <v>3</v>
      </c>
      <c r="I22" s="8">
        <f t="shared" si="19"/>
        <v>3</v>
      </c>
      <c r="J22" s="8">
        <f t="shared" si="19"/>
        <v>3</v>
      </c>
      <c r="K22" s="8">
        <f>COUNT(K18:K21)</f>
        <v>4</v>
      </c>
      <c r="L22" s="59">
        <f>COUNT(L20)</f>
        <v>1</v>
      </c>
    </row>
    <row r="23" spans="1:12">
      <c r="A23" s="32" t="s">
        <v>18</v>
      </c>
      <c r="B23" s="33"/>
      <c r="C23" s="34"/>
      <c r="D23" s="34"/>
      <c r="E23" s="17">
        <f>AVERAGE(E18:E21)</f>
        <v>1.5</v>
      </c>
      <c r="F23" s="21">
        <f>AVERAGE(F18:F21)</f>
        <v>53.842500000000001</v>
      </c>
      <c r="G23" s="21">
        <f>AVERAGE(G18,G20:G21)</f>
        <v>139.33083333333335</v>
      </c>
      <c r="H23" s="17">
        <f t="shared" ref="H23:J23" si="20">AVERAGE(H18,H20:H21)</f>
        <v>4</v>
      </c>
      <c r="I23" s="21">
        <f t="shared" si="20"/>
        <v>18.170000000000002</v>
      </c>
      <c r="J23" s="17">
        <f t="shared" si="20"/>
        <v>1.6723168487079849</v>
      </c>
      <c r="K23" s="17">
        <f>AVERAGE(K18:K21)</f>
        <v>1.3522628611876957</v>
      </c>
      <c r="L23" s="60">
        <f>AVERAGE(L20)</f>
        <v>2.7320044939089492E-2</v>
      </c>
    </row>
    <row r="24" spans="1:12">
      <c r="A24" s="32" t="s">
        <v>19</v>
      </c>
      <c r="B24" s="33"/>
      <c r="C24" s="34"/>
      <c r="D24" s="34"/>
      <c r="E24" s="17">
        <f>STDEV(E18:E21)</f>
        <v>0.57735026918962573</v>
      </c>
      <c r="F24" s="21">
        <f>STDEV(F18:F21)</f>
        <v>52.848278038803372</v>
      </c>
      <c r="G24" s="21">
        <f>STDEV(G18,G20:G21)</f>
        <v>129.58812591083844</v>
      </c>
      <c r="H24" s="17">
        <f t="shared" ref="H24:J24" si="21">STDEV(H18,H20:H21)</f>
        <v>0</v>
      </c>
      <c r="I24" s="21">
        <f t="shared" si="21"/>
        <v>17.80135668987058</v>
      </c>
      <c r="J24" s="17">
        <f t="shared" si="21"/>
        <v>0.51420586710520977</v>
      </c>
      <c r="K24" s="17">
        <f>STDEV(K18:K21)</f>
        <v>0.99393159927492059</v>
      </c>
      <c r="L24" s="60" t="e">
        <f>STDEV(L20)</f>
        <v>#DIV/0!</v>
      </c>
    </row>
    <row r="25" spans="1:12">
      <c r="A25" s="32" t="s">
        <v>20</v>
      </c>
      <c r="B25" s="33"/>
      <c r="C25" s="34"/>
      <c r="D25" s="34"/>
      <c r="E25" s="17">
        <f>MIN(E18:E21)</f>
        <v>1</v>
      </c>
      <c r="F25" s="21">
        <f>MIN(F18:F21)</f>
        <v>24.14</v>
      </c>
      <c r="G25" s="21">
        <f>MIN(G18,G20:G21)</f>
        <v>63.59</v>
      </c>
      <c r="H25" s="17">
        <f t="shared" ref="H25:J25" si="22">MIN(H18,H20:H21)</f>
        <v>4</v>
      </c>
      <c r="I25" s="21">
        <f t="shared" si="22"/>
        <v>4.54</v>
      </c>
      <c r="J25" s="17">
        <f t="shared" si="22"/>
        <v>1.3007247192275662</v>
      </c>
      <c r="K25" s="17">
        <f>MIN(K18:K21)</f>
        <v>0.21381824206776573</v>
      </c>
      <c r="L25" s="60">
        <f>MIN(L20)</f>
        <v>2.7320044939089492E-2</v>
      </c>
    </row>
    <row r="26" spans="1:12">
      <c r="A26" s="32" t="s">
        <v>21</v>
      </c>
      <c r="B26" s="33"/>
      <c r="C26" s="34"/>
      <c r="D26" s="34"/>
      <c r="E26" s="17">
        <f>MEDIAN(E18:E21)</f>
        <v>1.5</v>
      </c>
      <c r="F26" s="21">
        <f>MEDIAN(F18:F21)</f>
        <v>29.15</v>
      </c>
      <c r="G26" s="21">
        <f>MEDIAN(G18,G20:G21)</f>
        <v>65.44</v>
      </c>
      <c r="H26" s="61">
        <f t="shared" ref="H26:J26" si="23">MEDIAN(H18,H20:H21)</f>
        <v>4</v>
      </c>
      <c r="I26" s="21">
        <f t="shared" si="23"/>
        <v>11.66</v>
      </c>
      <c r="J26" s="17">
        <f t="shared" si="23"/>
        <v>1.4570553854717505</v>
      </c>
      <c r="K26" s="17">
        <f>MEDIAN(K18:K21)</f>
        <v>1.2779577873691288</v>
      </c>
      <c r="L26" s="60">
        <f>MEDIAN(L20)</f>
        <v>2.7320044939089492E-2</v>
      </c>
    </row>
    <row r="27" spans="1:12">
      <c r="A27" s="32" t="s">
        <v>22</v>
      </c>
      <c r="B27" s="33"/>
      <c r="C27" s="34"/>
      <c r="D27" s="34"/>
      <c r="E27" s="17">
        <f>MAX(E18:E21)</f>
        <v>2</v>
      </c>
      <c r="F27" s="21">
        <f>MAX(F18:F21)</f>
        <v>132.93</v>
      </c>
      <c r="G27" s="21">
        <f>MAX(G18,G20:G21)</f>
        <v>288.96249999999998</v>
      </c>
      <c r="H27" s="17">
        <f t="shared" ref="H27:J27" si="24">MAX(H18,H20:H21)</f>
        <v>4</v>
      </c>
      <c r="I27" s="21">
        <f t="shared" si="24"/>
        <v>38.31</v>
      </c>
      <c r="J27" s="17">
        <f t="shared" si="24"/>
        <v>2.2591704414246383</v>
      </c>
      <c r="K27" s="17">
        <f>MAX(K18:K21)</f>
        <v>2.6393176279447603</v>
      </c>
      <c r="L27" s="60">
        <f>MAX(L20)</f>
        <v>2.7320044939089492E-2</v>
      </c>
    </row>
    <row r="28" spans="1:12">
      <c r="A28" s="32" t="s">
        <v>23</v>
      </c>
      <c r="B28" s="33"/>
      <c r="C28" s="34"/>
      <c r="D28" s="34"/>
      <c r="E28" s="17">
        <f>GEOMEAN(E18:E21)</f>
        <v>1.4142135623730949</v>
      </c>
      <c r="F28" s="21">
        <f>GEOMEAN(F18:F21)</f>
        <v>40.50181602538251</v>
      </c>
      <c r="G28" s="21">
        <f>GEOMEAN(G18,G20:G21)</f>
        <v>106.33866420972188</v>
      </c>
      <c r="H28" s="17">
        <f t="shared" ref="H28:J28" si="25">GEOMEAN(H18,H20:H21)</f>
        <v>4</v>
      </c>
      <c r="I28" s="21">
        <f t="shared" si="25"/>
        <v>12.657720989653582</v>
      </c>
      <c r="J28" s="17">
        <f t="shared" si="25"/>
        <v>1.623816002933445</v>
      </c>
      <c r="K28" s="17">
        <f>GEOMEAN(K18:K21)</f>
        <v>0.97980424663891963</v>
      </c>
      <c r="L28" s="60">
        <f>GEOMEAN(L20)</f>
        <v>2.7320044939089492E-2</v>
      </c>
    </row>
    <row r="29" spans="1:12">
      <c r="A29" s="36" t="s">
        <v>24</v>
      </c>
      <c r="B29" s="37"/>
      <c r="C29" s="38"/>
      <c r="D29" s="38"/>
      <c r="E29" s="40">
        <f>(E24/E23)*100</f>
        <v>38.490017945975048</v>
      </c>
      <c r="F29" s="40">
        <f>(F24/F23)*100</f>
        <v>98.153462485589216</v>
      </c>
      <c r="G29" s="40">
        <f t="shared" ref="G29:J29" si="26">(G24/G23)*100</f>
        <v>93.007500788295317</v>
      </c>
      <c r="H29" s="41">
        <f t="shared" si="26"/>
        <v>0</v>
      </c>
      <c r="I29" s="39">
        <f t="shared" si="26"/>
        <v>97.971143037262394</v>
      </c>
      <c r="J29" s="40">
        <f t="shared" si="26"/>
        <v>30.748112566256808</v>
      </c>
      <c r="K29" s="40">
        <f>(K24/K23)*100</f>
        <v>73.501360408726171</v>
      </c>
      <c r="L29" s="62" t="e">
        <f>(L24/L23)*100</f>
        <v>#DIV/0!</v>
      </c>
    </row>
    <row r="30" spans="1:12" ht="15.6" thickBot="1">
      <c r="A30" s="44" t="s">
        <v>25</v>
      </c>
      <c r="B30" s="45"/>
      <c r="C30" s="46"/>
      <c r="D30" s="46"/>
      <c r="E30" s="47">
        <f>SQRT(EXP((STDEV(LN(E18),LN(E19),LN(E20),LN(E21)))^2)-1)*100</f>
        <v>41.675903104530711</v>
      </c>
      <c r="F30" s="47">
        <f>SQRT(EXP((STDEV(LN(F18),LN(F19),LN(F20),LN(F21)))^2)-1)*100</f>
        <v>95.078757343478102</v>
      </c>
      <c r="G30" s="47">
        <f>SQRT(EXP((STDEV(LN(G18),LN(G20),LN(G21)))^2)-1)*100</f>
        <v>105.65894149119886</v>
      </c>
      <c r="H30" s="24">
        <f t="shared" ref="H30:J30" si="27">SQRT(EXP((STDEV(LN(H18),LN(H20),LN(H21)))^2)-1)*100</f>
        <v>0</v>
      </c>
      <c r="I30" s="47">
        <f t="shared" si="27"/>
        <v>146.07545358431108</v>
      </c>
      <c r="J30" s="47">
        <f t="shared" si="27"/>
        <v>29.786077196665083</v>
      </c>
      <c r="K30" s="47">
        <f>SQRT(EXP((STDEV(LN(K18),LN(K19),LN(K20),LN(K21)))^2)-1)*100</f>
        <v>146.56047482085307</v>
      </c>
      <c r="L30" s="63" t="e">
        <f>SQRT(EXP((STDEV(LN(L20)))^2)-1)*100</f>
        <v>#DIV/0!</v>
      </c>
    </row>
    <row r="31" spans="1:12">
      <c r="A31" s="50"/>
      <c r="C31" s="51"/>
      <c r="D31" s="51"/>
      <c r="E31" s="52"/>
      <c r="F31" s="52"/>
      <c r="G31" s="52"/>
      <c r="H31" s="52"/>
      <c r="I31" s="52"/>
      <c r="J31" s="52"/>
      <c r="K31" s="52"/>
      <c r="L31" s="52"/>
    </row>
    <row r="32" spans="1:12" ht="15.6" thickBot="1">
      <c r="A32" s="1" t="s">
        <v>26</v>
      </c>
      <c r="C32" s="51"/>
      <c r="D32" s="51"/>
      <c r="E32" s="52"/>
      <c r="F32" s="52"/>
      <c r="G32" s="52"/>
      <c r="H32" s="52"/>
      <c r="I32" s="52"/>
      <c r="J32" s="52"/>
      <c r="K32" s="52"/>
      <c r="L32" s="52"/>
    </row>
    <row r="33" spans="1:12" ht="17.45" thickBot="1">
      <c r="A33" s="2" t="s">
        <v>1</v>
      </c>
      <c r="B33" s="3" t="s">
        <v>2</v>
      </c>
      <c r="C33" s="3" t="s">
        <v>3</v>
      </c>
      <c r="D33" s="3" t="s">
        <v>4</v>
      </c>
      <c r="E33" s="3" t="s">
        <v>5</v>
      </c>
      <c r="F33" s="3" t="s">
        <v>6</v>
      </c>
      <c r="G33" s="3" t="s">
        <v>7</v>
      </c>
      <c r="H33" s="3" t="s">
        <v>8</v>
      </c>
      <c r="I33" s="3" t="s">
        <v>9</v>
      </c>
      <c r="J33" s="3" t="s">
        <v>10</v>
      </c>
      <c r="K33" s="3" t="s">
        <v>11</v>
      </c>
      <c r="L33" s="4" t="s">
        <v>12</v>
      </c>
    </row>
    <row r="34" spans="1:12">
      <c r="A34" s="5" t="s">
        <v>27</v>
      </c>
      <c r="B34" s="6">
        <v>1</v>
      </c>
      <c r="C34" s="6">
        <f>'[1]PK_parameters_WNL '!O11</f>
        <v>5</v>
      </c>
      <c r="D34" s="6">
        <v>600</v>
      </c>
      <c r="E34" s="7">
        <f>'[1]PK_parameters_WNL '!Q11</f>
        <v>2</v>
      </c>
      <c r="F34" s="8">
        <f>'[1]PK_parameters_WNL '!R11</f>
        <v>146.83000000000001</v>
      </c>
      <c r="G34" s="8">
        <f>'[1]PK_parameters_WNL '!U11</f>
        <v>283.4375</v>
      </c>
      <c r="H34" s="7">
        <f>'[1]PK_parameters_WNL '!S11</f>
        <v>4</v>
      </c>
      <c r="I34" s="8">
        <f>'[1]PK_parameters_WNL '!T11</f>
        <v>15.17</v>
      </c>
      <c r="J34" s="7"/>
      <c r="K34" s="7"/>
      <c r="L34" s="64">
        <f>G34/'[2]PK parameter_nominal (3)'!$G$34</f>
        <v>5.9849656606821414E-2</v>
      </c>
    </row>
    <row r="35" spans="1:12">
      <c r="A35" s="12" t="s">
        <v>28</v>
      </c>
      <c r="B35" s="13">
        <v>1</v>
      </c>
      <c r="C35" s="13">
        <f>'[1]PK_parameters_WNL '!O13</f>
        <v>5</v>
      </c>
      <c r="D35" s="13">
        <v>600</v>
      </c>
      <c r="E35" s="17">
        <f>'[1]PK_parameters_WNL '!Q13</f>
        <v>2</v>
      </c>
      <c r="F35" s="21">
        <f>'[1]PK_parameters_WNL '!R13</f>
        <v>469.13</v>
      </c>
      <c r="G35" s="21">
        <f>'[1]PK_parameters_WNL '!U13</f>
        <v>795.90499999999997</v>
      </c>
      <c r="H35" s="17">
        <f>'[1]PK_parameters_WNL '!S13</f>
        <v>4</v>
      </c>
      <c r="I35" s="21">
        <f>'[1]PK_parameters_WNL '!T13</f>
        <v>26.94</v>
      </c>
      <c r="J35" s="17"/>
      <c r="K35" s="17"/>
      <c r="L35" s="60">
        <f>G35/'[2]PK parameter_nominal (3)'!$G$35</f>
        <v>0.11051442552021572</v>
      </c>
    </row>
    <row r="36" spans="1:12" s="67" customFormat="1">
      <c r="A36" s="65" t="s">
        <v>29</v>
      </c>
      <c r="B36" s="20">
        <v>1</v>
      </c>
      <c r="C36" s="20">
        <f>'[1]PK_parameters_WNL '!O15</f>
        <v>5</v>
      </c>
      <c r="D36" s="20">
        <v>600</v>
      </c>
      <c r="E36" s="61">
        <f>'[1]PK_parameters_WNL '!Q15</f>
        <v>2</v>
      </c>
      <c r="F36" s="66">
        <f>'[1]PK_parameters_WNL '!R15</f>
        <v>11.36</v>
      </c>
      <c r="G36" s="66">
        <f>'[1]PK_parameters_WNL '!U15</f>
        <v>25.947500000000002</v>
      </c>
      <c r="H36" s="61">
        <f>'[1]PK_parameters_WNL '!S15</f>
        <v>4</v>
      </c>
      <c r="I36" s="61">
        <f>'[1]PK_parameters_WNL '!T15</f>
        <v>4.51</v>
      </c>
      <c r="J36" s="61"/>
      <c r="K36" s="61"/>
      <c r="L36" s="56">
        <f>G36/'[2]PK parameter_nominal (3)'!$G$36</f>
        <v>5.0703171256445984E-3</v>
      </c>
    </row>
    <row r="37" spans="1:12" s="67" customFormat="1" ht="15.6" thickBot="1">
      <c r="A37" s="68" t="s">
        <v>30</v>
      </c>
      <c r="B37" s="69">
        <v>1</v>
      </c>
      <c r="C37" s="69">
        <f>'[1]PK_parameters_WNL '!O17</f>
        <v>5</v>
      </c>
      <c r="D37" s="69">
        <v>600</v>
      </c>
      <c r="E37" s="70">
        <f>'[1]PK_parameters_WNL '!Q17</f>
        <v>1</v>
      </c>
      <c r="F37" s="71">
        <f>'[1]PK_parameters_WNL '!R17</f>
        <v>35.81</v>
      </c>
      <c r="G37" s="71">
        <f>'[1]PK_parameters_WNL '!U17</f>
        <v>72.227500000000006</v>
      </c>
      <c r="H37" s="70">
        <f>'[1]PK_parameters_WNL '!S17</f>
        <v>4</v>
      </c>
      <c r="I37" s="70">
        <f>'[1]PK_parameters_WNL '!T17</f>
        <v>5.96</v>
      </c>
      <c r="J37" s="70"/>
      <c r="K37" s="70"/>
      <c r="L37" s="72">
        <f>G37/'[2]PK parameter_nominal (3)'!$G$37</f>
        <v>1.336897653360777E-2</v>
      </c>
    </row>
    <row r="38" spans="1:12">
      <c r="A38" s="27" t="s">
        <v>17</v>
      </c>
      <c r="B38" s="28"/>
      <c r="C38" s="29"/>
      <c r="D38" s="29"/>
      <c r="E38" s="8">
        <f t="shared" ref="E38:K38" si="28">COUNT(E34:E37)</f>
        <v>4</v>
      </c>
      <c r="F38" s="8">
        <f t="shared" si="28"/>
        <v>4</v>
      </c>
      <c r="G38" s="8">
        <f t="shared" si="28"/>
        <v>4</v>
      </c>
      <c r="H38" s="8">
        <f t="shared" si="28"/>
        <v>4</v>
      </c>
      <c r="I38" s="8">
        <f t="shared" si="28"/>
        <v>4</v>
      </c>
      <c r="J38" s="8">
        <f t="shared" si="28"/>
        <v>0</v>
      </c>
      <c r="K38" s="8">
        <f t="shared" si="28"/>
        <v>0</v>
      </c>
      <c r="L38" s="59">
        <f>COUNT(L34:L35,L37)</f>
        <v>3</v>
      </c>
    </row>
    <row r="39" spans="1:12">
      <c r="A39" s="32" t="s">
        <v>18</v>
      </c>
      <c r="B39" s="33"/>
      <c r="C39" s="34"/>
      <c r="D39" s="34"/>
      <c r="E39" s="17">
        <f>AVERAGE(E34:E37)</f>
        <v>1.75</v>
      </c>
      <c r="F39" s="21">
        <f t="shared" ref="F39:I39" si="29">AVERAGE(F34:F37)</f>
        <v>165.78250000000003</v>
      </c>
      <c r="G39" s="21">
        <f t="shared" si="29"/>
        <v>294.37937499999998</v>
      </c>
      <c r="H39" s="17">
        <f t="shared" si="29"/>
        <v>4</v>
      </c>
      <c r="I39" s="21">
        <f t="shared" si="29"/>
        <v>13.145</v>
      </c>
      <c r="J39" s="17"/>
      <c r="K39" s="17"/>
      <c r="L39" s="60">
        <f>AVERAGE(L34:L35,L37)</f>
        <v>6.1244352886881633E-2</v>
      </c>
    </row>
    <row r="40" spans="1:12">
      <c r="A40" s="32" t="s">
        <v>19</v>
      </c>
      <c r="B40" s="33"/>
      <c r="C40" s="34"/>
      <c r="D40" s="34"/>
      <c r="E40" s="17">
        <f>STDEV(E34:E37)</f>
        <v>0.5</v>
      </c>
      <c r="F40" s="21">
        <f t="shared" ref="F40:I40" si="30">STDEV(F34:F37)</f>
        <v>210.64825521470615</v>
      </c>
      <c r="G40" s="21">
        <f t="shared" si="30"/>
        <v>352.63522429567706</v>
      </c>
      <c r="H40" s="17">
        <f t="shared" si="30"/>
        <v>0</v>
      </c>
      <c r="I40" s="21">
        <f t="shared" si="30"/>
        <v>10.337473901619619</v>
      </c>
      <c r="J40" s="17"/>
      <c r="K40" s="17"/>
      <c r="L40" s="60">
        <f>STDEV(L34:L35,L37)</f>
        <v>4.8587739687987366E-2</v>
      </c>
    </row>
    <row r="41" spans="1:12">
      <c r="A41" s="32" t="s">
        <v>20</v>
      </c>
      <c r="B41" s="33"/>
      <c r="C41" s="34"/>
      <c r="D41" s="34"/>
      <c r="E41" s="17">
        <f>MIN(E34:E37)</f>
        <v>1</v>
      </c>
      <c r="F41" s="21">
        <f t="shared" ref="F41:I41" si="31">MIN(F34:F37)</f>
        <v>11.36</v>
      </c>
      <c r="G41" s="21">
        <f t="shared" si="31"/>
        <v>25.947500000000002</v>
      </c>
      <c r="H41" s="17">
        <f t="shared" si="31"/>
        <v>4</v>
      </c>
      <c r="I41" s="21">
        <f t="shared" si="31"/>
        <v>4.51</v>
      </c>
      <c r="J41" s="17"/>
      <c r="K41" s="17"/>
      <c r="L41" s="60">
        <f>MIN(L34:L35,L37)</f>
        <v>1.336897653360777E-2</v>
      </c>
    </row>
    <row r="42" spans="1:12">
      <c r="A42" s="32" t="s">
        <v>21</v>
      </c>
      <c r="B42" s="33"/>
      <c r="C42" s="34"/>
      <c r="D42" s="34"/>
      <c r="E42" s="17">
        <f>MEDIAN(E34:E37)</f>
        <v>2</v>
      </c>
      <c r="F42" s="21">
        <f t="shared" ref="F42:H42" si="32">MEDIAN(F34:F37)</f>
        <v>91.320000000000007</v>
      </c>
      <c r="G42" s="21">
        <f t="shared" si="32"/>
        <v>177.83249999999998</v>
      </c>
      <c r="H42" s="17">
        <f t="shared" si="32"/>
        <v>4</v>
      </c>
      <c r="I42" s="21">
        <f>MEDIAN(L50:L51)</f>
        <v>2.448628543685178E-2</v>
      </c>
      <c r="J42" s="17"/>
      <c r="K42" s="17"/>
      <c r="L42" s="60">
        <f>MEDIAN(L34:L35,L37)</f>
        <v>5.9849656606821414E-2</v>
      </c>
    </row>
    <row r="43" spans="1:12">
      <c r="A43" s="32" t="s">
        <v>22</v>
      </c>
      <c r="B43" s="33"/>
      <c r="C43" s="34"/>
      <c r="D43" s="34"/>
      <c r="E43" s="17">
        <f>MAX(E34:E37)</f>
        <v>2</v>
      </c>
      <c r="F43" s="21">
        <f t="shared" ref="F43:I43" si="33">MAX(F34:F37)</f>
        <v>469.13</v>
      </c>
      <c r="G43" s="21">
        <f t="shared" si="33"/>
        <v>795.90499999999997</v>
      </c>
      <c r="H43" s="17">
        <f t="shared" si="33"/>
        <v>4</v>
      </c>
      <c r="I43" s="21">
        <f t="shared" si="33"/>
        <v>26.94</v>
      </c>
      <c r="J43" s="17"/>
      <c r="K43" s="17"/>
      <c r="L43" s="60">
        <f>MAX(L34:L35,L37)</f>
        <v>0.11051442552021572</v>
      </c>
    </row>
    <row r="44" spans="1:12">
      <c r="A44" s="32" t="s">
        <v>23</v>
      </c>
      <c r="B44" s="33"/>
      <c r="C44" s="34"/>
      <c r="D44" s="34"/>
      <c r="E44" s="17">
        <f>GEOMEAN(E34:E37)</f>
        <v>1.681792830507429</v>
      </c>
      <c r="F44" s="21">
        <f t="shared" ref="F44:I44" si="34">GEOMEAN(F34:F37)</f>
        <v>72.756644990371299</v>
      </c>
      <c r="G44" s="21">
        <f t="shared" si="34"/>
        <v>143.39339963989335</v>
      </c>
      <c r="H44" s="17">
        <f t="shared" si="34"/>
        <v>4</v>
      </c>
      <c r="I44" s="21">
        <f t="shared" si="34"/>
        <v>10.237678651609842</v>
      </c>
      <c r="J44" s="17"/>
      <c r="K44" s="17"/>
      <c r="L44" s="60">
        <f>GEOMEAN(L34:L35,L37)</f>
        <v>4.4551219669773219E-2</v>
      </c>
    </row>
    <row r="45" spans="1:12">
      <c r="A45" s="36" t="s">
        <v>24</v>
      </c>
      <c r="B45" s="37"/>
      <c r="C45" s="38"/>
      <c r="D45" s="38"/>
      <c r="E45" s="39">
        <f>(E40/E39)*100</f>
        <v>28.571428571428569</v>
      </c>
      <c r="F45" s="40">
        <f t="shared" ref="F45:I45" si="35">(F40/F39)*100</f>
        <v>127.06302246298984</v>
      </c>
      <c r="G45" s="40">
        <f t="shared" si="35"/>
        <v>119.78937868717097</v>
      </c>
      <c r="H45" s="41">
        <f t="shared" si="35"/>
        <v>0</v>
      </c>
      <c r="I45" s="40">
        <f t="shared" si="35"/>
        <v>78.641870685580969</v>
      </c>
      <c r="J45" s="41"/>
      <c r="K45" s="41"/>
      <c r="L45" s="73">
        <f>(L40/L39)*100</f>
        <v>79.334236378869022</v>
      </c>
    </row>
    <row r="46" spans="1:12" ht="15.6" thickBot="1">
      <c r="A46" s="44" t="s">
        <v>25</v>
      </c>
      <c r="B46" s="45"/>
      <c r="C46" s="46"/>
      <c r="D46" s="46"/>
      <c r="E46" s="47">
        <f>SQRT(EXP((STDEV(LN(E34),LN(E35),LN(E36),LN(E37)))^2)-1)*100</f>
        <v>35.724578619223358</v>
      </c>
      <c r="F46" s="47">
        <f t="shared" ref="F46:I46" si="36">SQRT(EXP((STDEV(LN(F34),LN(F35),LN(F36),LN(F37)))^2)-1)*100</f>
        <v>360.58810210917761</v>
      </c>
      <c r="G46" s="47">
        <f t="shared" si="36"/>
        <v>293.7575155670263</v>
      </c>
      <c r="H46" s="24">
        <f t="shared" si="36"/>
        <v>0</v>
      </c>
      <c r="I46" s="47">
        <f t="shared" si="36"/>
        <v>99.201648473053766</v>
      </c>
      <c r="J46" s="24"/>
      <c r="K46" s="24"/>
      <c r="L46" s="74">
        <f>SQRT(EXP((STDEV(LN(L34),LN(L35),LN(L37)))^2)-1)*100</f>
        <v>150.22296322841527</v>
      </c>
    </row>
    <row r="47" spans="1:12" ht="15.6" thickBot="1">
      <c r="C47" s="51"/>
      <c r="D47" s="51"/>
      <c r="E47" s="52"/>
      <c r="F47" s="52"/>
      <c r="G47" s="52"/>
      <c r="H47" s="52"/>
      <c r="I47" s="52"/>
      <c r="J47" s="52"/>
      <c r="K47" s="52"/>
      <c r="L47" s="52"/>
    </row>
    <row r="48" spans="1:12" ht="17.45" thickBot="1">
      <c r="A48" s="2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F48" s="3" t="s">
        <v>6</v>
      </c>
      <c r="G48" s="3" t="s">
        <v>7</v>
      </c>
      <c r="H48" s="3" t="s">
        <v>8</v>
      </c>
      <c r="I48" s="3" t="s">
        <v>9</v>
      </c>
      <c r="J48" s="3" t="s">
        <v>10</v>
      </c>
      <c r="K48" s="3" t="s">
        <v>11</v>
      </c>
      <c r="L48" s="4" t="s">
        <v>12</v>
      </c>
    </row>
    <row r="49" spans="1:12">
      <c r="A49" s="5" t="s">
        <v>27</v>
      </c>
      <c r="B49" s="6">
        <v>5</v>
      </c>
      <c r="C49" s="6">
        <f>'[1]PK_parameters_WNL '!O12</f>
        <v>5</v>
      </c>
      <c r="D49" s="6">
        <v>600</v>
      </c>
      <c r="E49" s="7">
        <f>'[1]PK_parameters_WNL '!Q12</f>
        <v>2</v>
      </c>
      <c r="F49" s="8">
        <f>'[1]PK_parameters_WNL '!R12</f>
        <v>70.47</v>
      </c>
      <c r="G49" s="8">
        <f>'[1]PK_parameters_WNL '!U12</f>
        <v>165.95750000000001</v>
      </c>
      <c r="H49" s="7">
        <f>'[1]PK_parameters_WNL '!S12</f>
        <v>4</v>
      </c>
      <c r="I49" s="8">
        <f>'[1]PK_parameters_WNL '!T12</f>
        <v>16.16</v>
      </c>
      <c r="J49" s="7">
        <f>G49/G34</f>
        <v>0.58551708930540247</v>
      </c>
      <c r="K49" s="7">
        <f>F49/F34</f>
        <v>0.47994279098276915</v>
      </c>
      <c r="L49" s="75">
        <f>G49/'[2]PK parameter_nominal (3)'!$G$49</f>
        <v>3.7526335932019241E-2</v>
      </c>
    </row>
    <row r="50" spans="1:12">
      <c r="A50" s="12" t="s">
        <v>28</v>
      </c>
      <c r="B50" s="13">
        <v>5</v>
      </c>
      <c r="C50" s="13">
        <f>'[1]PK_parameters_WNL '!O14</f>
        <v>5</v>
      </c>
      <c r="D50" s="13">
        <v>600</v>
      </c>
      <c r="E50" s="17">
        <f>'[1]PK_parameters_WNL '!Q14</f>
        <v>2</v>
      </c>
      <c r="F50" s="21">
        <f>'[1]PK_parameters_WNL '!R14</f>
        <v>114.65</v>
      </c>
      <c r="G50" s="21">
        <f>'[1]PK_parameters_WNL '!U14</f>
        <v>257.45499999999998</v>
      </c>
      <c r="H50" s="17">
        <f>'[1]PK_parameters_WNL '!S14</f>
        <v>4</v>
      </c>
      <c r="I50" s="21">
        <f>'[1]PK_parameters_WNL '!T14</f>
        <v>17.05</v>
      </c>
      <c r="J50" s="17">
        <f>G50/G35</f>
        <v>0.32347453527745146</v>
      </c>
      <c r="K50" s="17">
        <f>F50/F35</f>
        <v>0.24438854901626417</v>
      </c>
      <c r="L50" s="60">
        <f>G50/'[2]PK parameter_nominal (3)'!$G$50</f>
        <v>3.7073944125920799E-2</v>
      </c>
    </row>
    <row r="51" spans="1:12" s="67" customFormat="1">
      <c r="A51" s="65" t="s">
        <v>29</v>
      </c>
      <c r="B51" s="20">
        <v>5</v>
      </c>
      <c r="C51" s="20">
        <f>'[1]PK_parameters_WNL '!O16</f>
        <v>5</v>
      </c>
      <c r="D51" s="20">
        <v>600</v>
      </c>
      <c r="E51" s="61">
        <f>'[1]PK_parameters_WNL '!Q16</f>
        <v>4</v>
      </c>
      <c r="F51" s="66">
        <f>'[1]PK_parameters_WNL '!R16</f>
        <v>13.66</v>
      </c>
      <c r="G51" s="66">
        <f>'[1]PK_parameters_WNL '!U16</f>
        <v>28.11</v>
      </c>
      <c r="H51" s="61">
        <f>'[1]PK_parameters_WNL '!S16</f>
        <v>4</v>
      </c>
      <c r="I51" s="66">
        <f>'[1]PK_parameters_WNL '!T16</f>
        <v>13.66</v>
      </c>
      <c r="J51" s="61">
        <f>G51/G36</f>
        <v>1.0833413623663166</v>
      </c>
      <c r="K51" s="61">
        <f>F51/F36</f>
        <v>1.2024647887323945</v>
      </c>
      <c r="L51" s="60">
        <f>G51/'[2]PK parameter_nominal (3)'!$G$51</f>
        <v>1.1898626747782763E-2</v>
      </c>
    </row>
    <row r="52" spans="1:12" s="67" customFormat="1" ht="15.6" thickBot="1">
      <c r="A52" s="68" t="s">
        <v>30</v>
      </c>
      <c r="B52" s="69">
        <v>5</v>
      </c>
      <c r="C52" s="76">
        <f>'[1]PK_parameters_WNL '!O18</f>
        <v>4</v>
      </c>
      <c r="D52" s="69">
        <v>600</v>
      </c>
      <c r="E52" s="77">
        <f>'[1]PK_parameters_WNL '!Q18</f>
        <v>1</v>
      </c>
      <c r="F52" s="78">
        <f>'[1]PK_parameters_WNL '!R18</f>
        <v>23.1</v>
      </c>
      <c r="G52" s="78">
        <f>'[1]PK_parameters_WNL '!U18</f>
        <v>51.322499999999998</v>
      </c>
      <c r="H52" s="77">
        <f>'[1]PK_parameters_WNL '!S18</f>
        <v>4</v>
      </c>
      <c r="I52" s="77">
        <f>'[1]PK_parameters_WNL '!T18</f>
        <v>4.9400000000000004</v>
      </c>
      <c r="J52" s="77">
        <f>G52/G37</f>
        <v>0.71056730469696439</v>
      </c>
      <c r="K52" s="77">
        <f>F52/F37</f>
        <v>0.64507120915945271</v>
      </c>
      <c r="L52" s="58">
        <f>G52/'[2]PK parameter_nominal (3)'!$G$52</f>
        <v>1.1222920583445359E-2</v>
      </c>
    </row>
    <row r="53" spans="1:12">
      <c r="A53" s="27" t="s">
        <v>17</v>
      </c>
      <c r="B53" s="28"/>
      <c r="C53" s="29"/>
      <c r="D53" s="29"/>
      <c r="E53" s="8">
        <f>COUNT(E49:E51)</f>
        <v>3</v>
      </c>
      <c r="F53" s="8">
        <f t="shared" ref="F53:K53" si="37">COUNT(F49:F51)</f>
        <v>3</v>
      </c>
      <c r="G53" s="8">
        <f t="shared" si="37"/>
        <v>3</v>
      </c>
      <c r="H53" s="8">
        <f t="shared" si="37"/>
        <v>3</v>
      </c>
      <c r="I53" s="8">
        <f t="shared" si="37"/>
        <v>3</v>
      </c>
      <c r="J53" s="8">
        <f t="shared" si="37"/>
        <v>3</v>
      </c>
      <c r="K53" s="8">
        <f t="shared" si="37"/>
        <v>3</v>
      </c>
      <c r="L53" s="59">
        <f>COUNT(L49:L51)</f>
        <v>3</v>
      </c>
    </row>
    <row r="54" spans="1:12">
      <c r="A54" s="32" t="s">
        <v>18</v>
      </c>
      <c r="B54" s="33"/>
      <c r="C54" s="34"/>
      <c r="D54" s="34"/>
      <c r="E54" s="17">
        <f>AVERAGE(E49:E51)</f>
        <v>2.6666666666666665</v>
      </c>
      <c r="F54" s="21">
        <f t="shared" ref="F54:K54" si="38">AVERAGE(F49:F51)</f>
        <v>66.260000000000005</v>
      </c>
      <c r="G54" s="21">
        <f t="shared" si="38"/>
        <v>150.50750000000002</v>
      </c>
      <c r="H54" s="17">
        <f t="shared" si="38"/>
        <v>4</v>
      </c>
      <c r="I54" s="21">
        <f t="shared" si="38"/>
        <v>15.623333333333335</v>
      </c>
      <c r="J54" s="17">
        <f t="shared" si="38"/>
        <v>0.66411099564972353</v>
      </c>
      <c r="K54" s="17">
        <f t="shared" si="38"/>
        <v>0.64226537624380919</v>
      </c>
      <c r="L54" s="60">
        <f>AVERAGE(L49:L51)</f>
        <v>2.883296893524093E-2</v>
      </c>
    </row>
    <row r="55" spans="1:12">
      <c r="A55" s="32" t="s">
        <v>19</v>
      </c>
      <c r="B55" s="33"/>
      <c r="C55" s="34"/>
      <c r="D55" s="34"/>
      <c r="E55" s="17">
        <f>STDEV(E49:E51)</f>
        <v>1.1547005383792517</v>
      </c>
      <c r="F55" s="21">
        <f t="shared" ref="F55:K55" si="39">STDEV(F49:F51)</f>
        <v>50.626456522257222</v>
      </c>
      <c r="G55" s="21">
        <f t="shared" si="39"/>
        <v>115.45046180613566</v>
      </c>
      <c r="H55" s="17">
        <f t="shared" si="39"/>
        <v>0</v>
      </c>
      <c r="I55" s="21">
        <f t="shared" si="39"/>
        <v>1.7575646028904126</v>
      </c>
      <c r="J55" s="17">
        <f t="shared" si="39"/>
        <v>0.38598205957449588</v>
      </c>
      <c r="K55" s="17">
        <f t="shared" si="39"/>
        <v>0.49923840651688722</v>
      </c>
      <c r="L55" s="60">
        <f>STDEV(L49:L51)</f>
        <v>1.4667314804625988E-2</v>
      </c>
    </row>
    <row r="56" spans="1:12">
      <c r="A56" s="32" t="s">
        <v>20</v>
      </c>
      <c r="B56" s="33"/>
      <c r="C56" s="34"/>
      <c r="D56" s="34"/>
      <c r="E56" s="17">
        <f>MIN(E49:E51)</f>
        <v>2</v>
      </c>
      <c r="F56" s="21">
        <f t="shared" ref="F56:K56" si="40">MIN(F49:F51)</f>
        <v>13.66</v>
      </c>
      <c r="G56" s="21">
        <f t="shared" si="40"/>
        <v>28.11</v>
      </c>
      <c r="H56" s="17">
        <f t="shared" si="40"/>
        <v>4</v>
      </c>
      <c r="I56" s="21">
        <f t="shared" si="40"/>
        <v>13.66</v>
      </c>
      <c r="J56" s="17">
        <f t="shared" si="40"/>
        <v>0.32347453527745146</v>
      </c>
      <c r="K56" s="17">
        <f t="shared" si="40"/>
        <v>0.24438854901626417</v>
      </c>
      <c r="L56" s="60">
        <f>MIN(L49:L51)</f>
        <v>1.1898626747782763E-2</v>
      </c>
    </row>
    <row r="57" spans="1:12">
      <c r="A57" s="32" t="s">
        <v>21</v>
      </c>
      <c r="B57" s="33"/>
      <c r="C57" s="34"/>
      <c r="D57" s="34"/>
      <c r="E57" s="17">
        <f>MEDIAN(E49:E51)</f>
        <v>2</v>
      </c>
      <c r="F57" s="21">
        <f t="shared" ref="F57:K57" si="41">MEDIAN(F49:F51)</f>
        <v>70.47</v>
      </c>
      <c r="G57" s="21">
        <f t="shared" si="41"/>
        <v>165.95750000000001</v>
      </c>
      <c r="H57" s="17">
        <f t="shared" si="41"/>
        <v>4</v>
      </c>
      <c r="I57" s="21">
        <f t="shared" si="41"/>
        <v>16.16</v>
      </c>
      <c r="J57" s="17">
        <f t="shared" si="41"/>
        <v>0.58551708930540247</v>
      </c>
      <c r="K57" s="17">
        <f t="shared" si="41"/>
        <v>0.47994279098276915</v>
      </c>
      <c r="L57" s="60">
        <f>MEDIAN(L49:L51)</f>
        <v>3.7073944125920799E-2</v>
      </c>
    </row>
    <row r="58" spans="1:12">
      <c r="A58" s="32" t="s">
        <v>22</v>
      </c>
      <c r="B58" s="33"/>
      <c r="C58" s="34"/>
      <c r="D58" s="34"/>
      <c r="E58" s="17">
        <f>MAX(E49:E51)</f>
        <v>4</v>
      </c>
      <c r="F58" s="21">
        <f t="shared" ref="F58:K58" si="42">MAX(F49:F51)</f>
        <v>114.65</v>
      </c>
      <c r="G58" s="21">
        <f t="shared" si="42"/>
        <v>257.45499999999998</v>
      </c>
      <c r="H58" s="17">
        <f t="shared" si="42"/>
        <v>4</v>
      </c>
      <c r="I58" s="21">
        <f t="shared" si="42"/>
        <v>17.05</v>
      </c>
      <c r="J58" s="17">
        <f t="shared" si="42"/>
        <v>1.0833413623663166</v>
      </c>
      <c r="K58" s="17">
        <f t="shared" si="42"/>
        <v>1.2024647887323945</v>
      </c>
      <c r="L58" s="60">
        <f>MAX(L49:L51)</f>
        <v>3.7526335932019241E-2</v>
      </c>
    </row>
    <row r="59" spans="1:12">
      <c r="A59" s="32" t="s">
        <v>23</v>
      </c>
      <c r="B59" s="33"/>
      <c r="C59" s="34"/>
      <c r="D59" s="34"/>
      <c r="E59" s="17">
        <f>GEOMEAN(E49:E51)</f>
        <v>2.5198420997897464</v>
      </c>
      <c r="F59" s="21">
        <f t="shared" ref="F59:K59" si="43">GEOMEAN(F49:F51)</f>
        <v>47.96705000356593</v>
      </c>
      <c r="G59" s="21">
        <f t="shared" si="43"/>
        <v>106.29667668540304</v>
      </c>
      <c r="H59" s="17">
        <f t="shared" si="43"/>
        <v>4</v>
      </c>
      <c r="I59" s="21">
        <f t="shared" si="43"/>
        <v>15.555076322953353</v>
      </c>
      <c r="J59" s="17">
        <f t="shared" si="43"/>
        <v>0.5898138945928395</v>
      </c>
      <c r="K59" s="17">
        <f t="shared" si="43"/>
        <v>0.52053215744176751</v>
      </c>
      <c r="L59" s="60">
        <f>GEOMEAN(L49:L51)</f>
        <v>2.5485936582054614E-2</v>
      </c>
    </row>
    <row r="60" spans="1:12">
      <c r="A60" s="36" t="s">
        <v>24</v>
      </c>
      <c r="B60" s="37"/>
      <c r="C60" s="38"/>
      <c r="D60" s="38"/>
      <c r="E60" s="41">
        <f>(E55/E54)*100</f>
        <v>43.301270189221938</v>
      </c>
      <c r="F60" s="40">
        <f t="shared" ref="F60:L60" si="44">(F55/F54)*100</f>
        <v>76.405759918891064</v>
      </c>
      <c r="G60" s="40">
        <f t="shared" si="44"/>
        <v>76.707447672797471</v>
      </c>
      <c r="H60" s="41">
        <f t="shared" si="44"/>
        <v>0</v>
      </c>
      <c r="I60" s="40">
        <f t="shared" si="44"/>
        <v>11.249613417263147</v>
      </c>
      <c r="J60" s="40">
        <f t="shared" si="44"/>
        <v>58.120112767727306</v>
      </c>
      <c r="K60" s="40">
        <f t="shared" si="44"/>
        <v>77.730860946701924</v>
      </c>
      <c r="L60" s="73">
        <f t="shared" si="44"/>
        <v>50.86994279905371</v>
      </c>
    </row>
    <row r="61" spans="1:12" ht="15.6" thickBot="1">
      <c r="A61" s="44" t="s">
        <v>25</v>
      </c>
      <c r="B61" s="45"/>
      <c r="C61" s="46"/>
      <c r="D61" s="46"/>
      <c r="E61" s="47">
        <f>SQRT(EXP((STDEV(LN(E49),LN(E50),LN(E51)))^2)-1)*100</f>
        <v>41.675903104530683</v>
      </c>
      <c r="F61" s="47">
        <f t="shared" ref="F61:K61" si="45">SQRT(EXP((STDEV(LN(F49),LN(F50),LN(F51)))^2)-1)*100</f>
        <v>156.97425718257122</v>
      </c>
      <c r="G61" s="47">
        <f t="shared" si="45"/>
        <v>171.91450669938882</v>
      </c>
      <c r="H61" s="24">
        <f t="shared" si="45"/>
        <v>0</v>
      </c>
      <c r="I61" s="47">
        <f t="shared" si="45"/>
        <v>11.60468756278361</v>
      </c>
      <c r="J61" s="47">
        <f t="shared" si="45"/>
        <v>66.400522177954855</v>
      </c>
      <c r="K61" s="47">
        <f t="shared" si="45"/>
        <v>94.647590795930043</v>
      </c>
      <c r="L61" s="74">
        <f>SQRT(EXP((STDEV(LN(L49),LN(L50),LN(L51)))^2)-1)*100</f>
        <v>73.84058243285682</v>
      </c>
    </row>
    <row r="62" spans="1:12">
      <c r="A62" s="50"/>
      <c r="C62" s="51"/>
      <c r="D62" s="51"/>
      <c r="E62" s="79"/>
      <c r="F62" s="79"/>
      <c r="G62" s="79"/>
      <c r="H62" s="52"/>
      <c r="I62" s="52"/>
      <c r="J62" s="52"/>
      <c r="K62" s="52"/>
      <c r="L62" s="52"/>
    </row>
    <row r="63" spans="1:12" ht="15.6" thickBot="1">
      <c r="A63" s="1" t="s">
        <v>31</v>
      </c>
      <c r="C63" s="51"/>
      <c r="D63" s="51"/>
      <c r="E63" s="79"/>
      <c r="F63" s="79"/>
      <c r="G63" s="79"/>
      <c r="H63" s="52"/>
      <c r="I63" s="52"/>
      <c r="J63" s="52"/>
      <c r="K63" s="52"/>
      <c r="L63" s="52"/>
    </row>
    <row r="64" spans="1:12" ht="17.45" thickBot="1">
      <c r="A64" s="2" t="s">
        <v>1</v>
      </c>
      <c r="B64" s="3" t="s">
        <v>2</v>
      </c>
      <c r="C64" s="3" t="s">
        <v>3</v>
      </c>
      <c r="D64" s="3" t="s">
        <v>4</v>
      </c>
      <c r="E64" s="3" t="s">
        <v>5</v>
      </c>
      <c r="F64" s="3" t="s">
        <v>6</v>
      </c>
      <c r="G64" s="3" t="s">
        <v>7</v>
      </c>
      <c r="H64" s="3" t="s">
        <v>8</v>
      </c>
      <c r="I64" s="3" t="s">
        <v>9</v>
      </c>
      <c r="J64" s="3" t="s">
        <v>10</v>
      </c>
      <c r="K64" s="3" t="s">
        <v>11</v>
      </c>
      <c r="L64" s="4" t="s">
        <v>12</v>
      </c>
    </row>
    <row r="65" spans="1:12">
      <c r="A65" s="5" t="s">
        <v>32</v>
      </c>
      <c r="B65" s="6">
        <v>1</v>
      </c>
      <c r="C65" s="6">
        <f>'[1]PK_parameters_WNL '!O19</f>
        <v>5</v>
      </c>
      <c r="D65" s="6">
        <v>800</v>
      </c>
      <c r="E65" s="7">
        <f>'[1]PK_parameters_WNL '!Q19</f>
        <v>2</v>
      </c>
      <c r="F65" s="8">
        <f>'[1]PK_parameters_WNL '!R19</f>
        <v>230.03</v>
      </c>
      <c r="G65" s="8">
        <f>'[1]PK_parameters_WNL '!U19</f>
        <v>527.54499999999996</v>
      </c>
      <c r="H65" s="7">
        <f>'[1]PK_parameters_WNL '!S19</f>
        <v>4</v>
      </c>
      <c r="I65" s="8">
        <f>'[1]PK_parameters_WNL '!T19</f>
        <v>56.33</v>
      </c>
      <c r="J65" s="7"/>
      <c r="K65" s="7"/>
      <c r="L65" s="64">
        <f>G65/'[2]PK parameter_nominal (3)'!$G$65</f>
        <v>4.9717459282282488E-2</v>
      </c>
    </row>
    <row r="66" spans="1:12">
      <c r="A66" s="12" t="s">
        <v>33</v>
      </c>
      <c r="B66" s="13">
        <v>1</v>
      </c>
      <c r="C66" s="13">
        <f>'[1]PK_parameters_WNL '!O20</f>
        <v>5</v>
      </c>
      <c r="D66" s="13">
        <v>800</v>
      </c>
      <c r="E66" s="17">
        <f>'[1]PK_parameters_WNL '!Q20</f>
        <v>2</v>
      </c>
      <c r="F66" s="21">
        <f>'[1]PK_parameters_WNL '!R20</f>
        <v>181.19</v>
      </c>
      <c r="G66" s="21">
        <f>'[1]PK_parameters_WNL '!U20</f>
        <v>385.06</v>
      </c>
      <c r="H66" s="17">
        <f>'[1]PK_parameters_WNL '!S20</f>
        <v>4</v>
      </c>
      <c r="I66" s="21">
        <f>'[1]PK_parameters_WNL '!T20</f>
        <v>96.06</v>
      </c>
      <c r="J66" s="17"/>
      <c r="K66" s="17"/>
      <c r="L66" s="60">
        <f>G66/'[2]PK parameter_nominal (3)'!$G$66</f>
        <v>4.427930135850152E-2</v>
      </c>
    </row>
    <row r="67" spans="1:12">
      <c r="A67" s="12" t="s">
        <v>34</v>
      </c>
      <c r="B67" s="13">
        <v>1</v>
      </c>
      <c r="C67" s="13">
        <f>'[1]PK_parameters_WNL '!O22</f>
        <v>5</v>
      </c>
      <c r="D67" s="13">
        <v>800</v>
      </c>
      <c r="E67" s="17">
        <f>'[1]PK_parameters_WNL '!Q22</f>
        <v>2</v>
      </c>
      <c r="F67" s="21">
        <f>'[1]PK_parameters_WNL '!R22</f>
        <v>76.819999999999993</v>
      </c>
      <c r="G67" s="21">
        <f>'[1]PK_parameters_WNL '!U22</f>
        <v>147.66749999999999</v>
      </c>
      <c r="H67" s="17">
        <f>'[1]PK_parameters_WNL '!S22</f>
        <v>4</v>
      </c>
      <c r="I67" s="21">
        <f>'[1]PK_parameters_WNL '!T22</f>
        <v>13.04</v>
      </c>
      <c r="J67" s="17"/>
      <c r="K67" s="17"/>
      <c r="L67" s="60">
        <f>G67/'[2]PK parameter_nominal (3)'!$G$67</f>
        <v>3.0192558257933294E-2</v>
      </c>
    </row>
    <row r="68" spans="1:12" ht="15.6" thickBot="1">
      <c r="A68" s="22" t="s">
        <v>35</v>
      </c>
      <c r="B68" s="23">
        <v>1</v>
      </c>
      <c r="C68" s="23">
        <f>'[1]PK_parameters_WNL '!O24</f>
        <v>5</v>
      </c>
      <c r="D68" s="23">
        <v>800</v>
      </c>
      <c r="E68" s="24">
        <f>'[1]PK_parameters_WNL '!Q24</f>
        <v>1</v>
      </c>
      <c r="F68" s="25">
        <f>'[1]PK_parameters_WNL '!R24</f>
        <v>99.94</v>
      </c>
      <c r="G68" s="25">
        <f>'[1]PK_parameters_WNL '!U24</f>
        <v>231.91</v>
      </c>
      <c r="H68" s="24">
        <f>'[1]PK_parameters_WNL '!S24</f>
        <v>4</v>
      </c>
      <c r="I68" s="25">
        <f>'[1]PK_parameters_WNL '!T24</f>
        <v>25.8</v>
      </c>
      <c r="J68" s="24"/>
      <c r="K68" s="24"/>
      <c r="L68" s="63">
        <f>G68/'[2]PK parameter_nominal (3)'!$G$68</f>
        <v>2.3291888816408274E-2</v>
      </c>
    </row>
    <row r="69" spans="1:12">
      <c r="A69" s="27" t="s">
        <v>17</v>
      </c>
      <c r="B69" s="28"/>
      <c r="C69" s="29"/>
      <c r="D69" s="29"/>
      <c r="E69" s="8">
        <f>COUNT(E65:E68)</f>
        <v>4</v>
      </c>
      <c r="F69" s="8">
        <f t="shared" ref="F69:L69" si="46">COUNT(F65:F68)</f>
        <v>4</v>
      </c>
      <c r="G69" s="8">
        <f t="shared" si="46"/>
        <v>4</v>
      </c>
      <c r="H69" s="8">
        <f t="shared" si="46"/>
        <v>4</v>
      </c>
      <c r="I69" s="8">
        <f t="shared" si="46"/>
        <v>4</v>
      </c>
      <c r="J69" s="8">
        <f t="shared" si="46"/>
        <v>0</v>
      </c>
      <c r="K69" s="8">
        <f t="shared" si="46"/>
        <v>0</v>
      </c>
      <c r="L69" s="59">
        <f t="shared" si="46"/>
        <v>4</v>
      </c>
    </row>
    <row r="70" spans="1:12">
      <c r="A70" s="32" t="s">
        <v>18</v>
      </c>
      <c r="B70" s="33"/>
      <c r="C70" s="34"/>
      <c r="D70" s="34"/>
      <c r="E70" s="17">
        <f>AVERAGE(E65:E68)</f>
        <v>1.75</v>
      </c>
      <c r="F70" s="21">
        <f t="shared" ref="F70:I70" si="47">AVERAGE(F65:F68)</f>
        <v>146.995</v>
      </c>
      <c r="G70" s="21">
        <f t="shared" si="47"/>
        <v>323.04562500000003</v>
      </c>
      <c r="H70" s="17">
        <f t="shared" si="47"/>
        <v>4</v>
      </c>
      <c r="I70" s="21">
        <f t="shared" si="47"/>
        <v>47.807499999999997</v>
      </c>
      <c r="J70" s="17"/>
      <c r="K70" s="17"/>
      <c r="L70" s="60">
        <f t="shared" ref="L70" si="48">AVERAGE(L65:L68)</f>
        <v>3.6870301928781393E-2</v>
      </c>
    </row>
    <row r="71" spans="1:12">
      <c r="A71" s="32" t="s">
        <v>19</v>
      </c>
      <c r="B71" s="33"/>
      <c r="C71" s="34"/>
      <c r="D71" s="34"/>
      <c r="E71" s="17">
        <f>STDEV(E65:E68)</f>
        <v>0.5</v>
      </c>
      <c r="F71" s="21">
        <f t="shared" ref="F71:I71" si="49">STDEV(F65:F68)</f>
        <v>71.187107681096279</v>
      </c>
      <c r="G71" s="21">
        <f t="shared" si="49"/>
        <v>168.05650434173162</v>
      </c>
      <c r="H71" s="17">
        <f t="shared" si="49"/>
        <v>0</v>
      </c>
      <c r="I71" s="21">
        <f t="shared" si="49"/>
        <v>36.941602000093795</v>
      </c>
      <c r="J71" s="17"/>
      <c r="K71" s="17"/>
      <c r="L71" s="60">
        <f t="shared" ref="L71" si="50">STDEV(L65:L68)</f>
        <v>1.2232583371185744E-2</v>
      </c>
    </row>
    <row r="72" spans="1:12">
      <c r="A72" s="32" t="s">
        <v>20</v>
      </c>
      <c r="B72" s="33"/>
      <c r="C72" s="34"/>
      <c r="D72" s="34"/>
      <c r="E72" s="17">
        <f>MIN(E65:E68)</f>
        <v>1</v>
      </c>
      <c r="F72" s="21">
        <f t="shared" ref="F72:I72" si="51">MIN(F65:F68)</f>
        <v>76.819999999999993</v>
      </c>
      <c r="G72" s="21">
        <f t="shared" si="51"/>
        <v>147.66749999999999</v>
      </c>
      <c r="H72" s="17">
        <f t="shared" si="51"/>
        <v>4</v>
      </c>
      <c r="I72" s="21">
        <f t="shared" si="51"/>
        <v>13.04</v>
      </c>
      <c r="J72" s="17"/>
      <c r="K72" s="17"/>
      <c r="L72" s="60">
        <f t="shared" ref="L72" si="52">MIN(L65:L68)</f>
        <v>2.3291888816408274E-2</v>
      </c>
    </row>
    <row r="73" spans="1:12">
      <c r="A73" s="32" t="s">
        <v>21</v>
      </c>
      <c r="B73" s="33"/>
      <c r="C73" s="34"/>
      <c r="D73" s="34"/>
      <c r="E73" s="17">
        <f>MEDIAN(E65:E68)</f>
        <v>2</v>
      </c>
      <c r="F73" s="21">
        <f t="shared" ref="F73:I73" si="53">MEDIAN(F65:F68)</f>
        <v>140.565</v>
      </c>
      <c r="G73" s="21">
        <f t="shared" si="53"/>
        <v>308.48500000000001</v>
      </c>
      <c r="H73" s="17">
        <f t="shared" si="53"/>
        <v>4</v>
      </c>
      <c r="I73" s="21">
        <f t="shared" si="53"/>
        <v>41.064999999999998</v>
      </c>
      <c r="J73" s="17"/>
      <c r="K73" s="17"/>
      <c r="L73" s="60">
        <f t="shared" ref="L73" si="54">MEDIAN(L65:L68)</f>
        <v>3.7235929808217411E-2</v>
      </c>
    </row>
    <row r="74" spans="1:12">
      <c r="A74" s="32" t="s">
        <v>22</v>
      </c>
      <c r="B74" s="33"/>
      <c r="C74" s="34"/>
      <c r="D74" s="34"/>
      <c r="E74" s="17">
        <f>MAX(E65:E68)</f>
        <v>2</v>
      </c>
      <c r="F74" s="21">
        <f t="shared" ref="F74:I74" si="55">MAX(F65:F68)</f>
        <v>230.03</v>
      </c>
      <c r="G74" s="21">
        <f t="shared" si="55"/>
        <v>527.54499999999996</v>
      </c>
      <c r="H74" s="17">
        <f t="shared" si="55"/>
        <v>4</v>
      </c>
      <c r="I74" s="21">
        <f t="shared" si="55"/>
        <v>96.06</v>
      </c>
      <c r="J74" s="17"/>
      <c r="K74" s="17"/>
      <c r="L74" s="60">
        <f t="shared" ref="L74" si="56">MAX(L65:L68)</f>
        <v>4.9717459282282488E-2</v>
      </c>
    </row>
    <row r="75" spans="1:12">
      <c r="A75" s="32" t="s">
        <v>23</v>
      </c>
      <c r="B75" s="33"/>
      <c r="C75" s="34"/>
      <c r="D75" s="34"/>
      <c r="E75" s="17">
        <f>GEOMEAN(E65:E68)</f>
        <v>1.681792830507429</v>
      </c>
      <c r="F75" s="21">
        <f t="shared" ref="F75:I75" si="57">GEOMEAN(F65:F68)</f>
        <v>133.74670395166689</v>
      </c>
      <c r="G75" s="21">
        <f t="shared" si="57"/>
        <v>288.80059190083824</v>
      </c>
      <c r="H75" s="17">
        <f t="shared" si="57"/>
        <v>4</v>
      </c>
      <c r="I75" s="21">
        <f t="shared" si="57"/>
        <v>36.732028086806487</v>
      </c>
      <c r="J75" s="17"/>
      <c r="K75" s="17"/>
      <c r="L75" s="60">
        <f t="shared" ref="L75" si="58">GEOMEAN(L65:L68)</f>
        <v>3.5273907929187789E-2</v>
      </c>
    </row>
    <row r="76" spans="1:12">
      <c r="A76" s="36" t="s">
        <v>24</v>
      </c>
      <c r="B76" s="37"/>
      <c r="C76" s="38"/>
      <c r="D76" s="38"/>
      <c r="E76" s="41">
        <f>(E71/E70)*100</f>
        <v>28.571428571428569</v>
      </c>
      <c r="F76" s="40">
        <f t="shared" ref="F76:I76" si="59">(F71/F70)*100</f>
        <v>48.428251084115978</v>
      </c>
      <c r="G76" s="40">
        <f t="shared" si="59"/>
        <v>52.02252912161606</v>
      </c>
      <c r="H76" s="41">
        <f t="shared" si="59"/>
        <v>0</v>
      </c>
      <c r="I76" s="40">
        <f t="shared" si="59"/>
        <v>77.271561993607278</v>
      </c>
      <c r="J76" s="41"/>
      <c r="K76" s="41"/>
      <c r="L76" s="73">
        <f>(L71/L70)*100</f>
        <v>33.17733441623065</v>
      </c>
    </row>
    <row r="77" spans="1:12" ht="15.6" thickBot="1">
      <c r="A77" s="44" t="s">
        <v>25</v>
      </c>
      <c r="B77" s="45"/>
      <c r="C77" s="46"/>
      <c r="D77" s="46"/>
      <c r="E77" s="47">
        <f>SQRT(EXP((STDEV(LN(E65),LN(E66),LN(E67),LN(E68)))^2)-1)*100</f>
        <v>35.724578619223358</v>
      </c>
      <c r="F77" s="47">
        <f t="shared" ref="F77:I77" si="60">SQRT(EXP((STDEV(LN(F65),LN(F66),LN(F67),LN(F68)))^2)-1)*100</f>
        <v>54.434636657204841</v>
      </c>
      <c r="G77" s="47">
        <f t="shared" si="60"/>
        <v>60.804675271898631</v>
      </c>
      <c r="H77" s="24">
        <f t="shared" si="60"/>
        <v>0</v>
      </c>
      <c r="I77" s="47">
        <f t="shared" si="60"/>
        <v>107.50173632384536</v>
      </c>
      <c r="J77" s="24"/>
      <c r="K77" s="24"/>
      <c r="L77" s="74">
        <f t="shared" ref="L77" si="61">SQRT(EXP((STDEV(LN(L65),LN(L66),LN(L67),LN(L68)))^2)-1)*100</f>
        <v>36.018562655357123</v>
      </c>
    </row>
    <row r="78" spans="1:12" ht="15.6" thickBot="1"/>
    <row r="79" spans="1:12" ht="17.45" thickBot="1">
      <c r="A79" s="2" t="s">
        <v>1</v>
      </c>
      <c r="B79" s="3" t="s">
        <v>2</v>
      </c>
      <c r="C79" s="3" t="s">
        <v>3</v>
      </c>
      <c r="D79" s="3" t="s">
        <v>4</v>
      </c>
      <c r="E79" s="3" t="s">
        <v>5</v>
      </c>
      <c r="F79" s="3" t="s">
        <v>6</v>
      </c>
      <c r="G79" s="3" t="s">
        <v>7</v>
      </c>
      <c r="H79" s="3" t="s">
        <v>8</v>
      </c>
      <c r="I79" s="3" t="s">
        <v>9</v>
      </c>
      <c r="J79" s="3" t="s">
        <v>10</v>
      </c>
      <c r="K79" s="3" t="s">
        <v>11</v>
      </c>
      <c r="L79" s="4" t="s">
        <v>12</v>
      </c>
    </row>
    <row r="80" spans="1:12">
      <c r="A80" s="5" t="s">
        <v>32</v>
      </c>
      <c r="B80" s="6"/>
      <c r="C80" s="6"/>
      <c r="D80" s="6"/>
      <c r="E80" s="7"/>
      <c r="F80" s="8"/>
      <c r="G80" s="8"/>
      <c r="H80" s="7"/>
      <c r="I80" s="7"/>
      <c r="J80" s="7"/>
      <c r="K80" s="7"/>
      <c r="L80" s="64"/>
    </row>
    <row r="81" spans="1:12">
      <c r="A81" s="12" t="s">
        <v>33</v>
      </c>
      <c r="B81" s="13">
        <v>5</v>
      </c>
      <c r="C81" s="13">
        <f>'[1]PK_parameters_WNL '!O21</f>
        <v>5</v>
      </c>
      <c r="D81" s="13">
        <v>800</v>
      </c>
      <c r="E81" s="17">
        <f>'[1]PK_parameters_WNL '!Q21</f>
        <v>2</v>
      </c>
      <c r="F81" s="21">
        <f>'[1]PK_parameters_WNL '!R21</f>
        <v>146.91</v>
      </c>
      <c r="G81" s="21">
        <f>'[1]PK_parameters_WNL '!U21</f>
        <v>344.3725</v>
      </c>
      <c r="H81" s="17">
        <f>'[1]PK_parameters_WNL '!S21</f>
        <v>4</v>
      </c>
      <c r="I81" s="21">
        <f>'[1]PK_parameters_WNL '!T21</f>
        <v>71.569999999999993</v>
      </c>
      <c r="J81" s="17">
        <f>G81/G66</f>
        <v>0.89433464914558769</v>
      </c>
      <c r="K81" s="17">
        <f>F81/F66</f>
        <v>0.81080633589050166</v>
      </c>
      <c r="L81" s="60">
        <f>G81/'[2]PK parameter_nominal (3)'!$G$81</f>
        <v>4.0979175882709759E-2</v>
      </c>
    </row>
    <row r="82" spans="1:12">
      <c r="A82" s="12" t="s">
        <v>34</v>
      </c>
      <c r="B82" s="13">
        <v>5</v>
      </c>
      <c r="C82" s="13">
        <f>'[1]PK_parameters_WNL '!O23</f>
        <v>5</v>
      </c>
      <c r="D82" s="13">
        <v>800</v>
      </c>
      <c r="E82" s="17">
        <f>'[1]PK_parameters_WNL '!Q23</f>
        <v>2</v>
      </c>
      <c r="F82" s="21">
        <f>'[1]PK_parameters_WNL '!R23</f>
        <v>94.22</v>
      </c>
      <c r="G82" s="21">
        <f>'[1]PK_parameters_WNL '!U23</f>
        <v>169.6575</v>
      </c>
      <c r="H82" s="17">
        <f>'[1]PK_parameters_WNL '!S23</f>
        <v>4</v>
      </c>
      <c r="I82" s="21">
        <f>'[1]PK_parameters_WNL '!T23</f>
        <v>19.84</v>
      </c>
      <c r="J82" s="17">
        <f>G82/G67</f>
        <v>1.1489156381735997</v>
      </c>
      <c r="K82" s="17">
        <f>F82/F67</f>
        <v>1.2265035147097112</v>
      </c>
      <c r="L82" s="60">
        <f>G82/'[2]PK parameter_nominal (3)'!$G$82</f>
        <v>3.0847168717826338E-2</v>
      </c>
    </row>
    <row r="83" spans="1:12" ht="15.6" thickBot="1">
      <c r="A83" s="22" t="s">
        <v>35</v>
      </c>
      <c r="B83" s="23">
        <v>5</v>
      </c>
      <c r="C83" s="23">
        <f>'[1]PK_parameters_WNL '!O25</f>
        <v>5</v>
      </c>
      <c r="D83" s="23">
        <v>800</v>
      </c>
      <c r="E83" s="24">
        <f>'[1]PK_parameters_WNL '!Q25</f>
        <v>2</v>
      </c>
      <c r="F83" s="25">
        <f>'[1]PK_parameters_WNL '!R25</f>
        <v>94.29</v>
      </c>
      <c r="G83" s="25">
        <f>'[1]PK_parameters_WNL '!U25</f>
        <v>226.44749999999999</v>
      </c>
      <c r="H83" s="24">
        <f>'[1]PK_parameters_WNL '!S25</f>
        <v>4</v>
      </c>
      <c r="I83" s="25">
        <f>'[1]PK_parameters_WNL '!T25</f>
        <v>17.29</v>
      </c>
      <c r="J83" s="24">
        <f>G83/G68</f>
        <v>0.9764456038980639</v>
      </c>
      <c r="K83" s="24">
        <f>F83/F68</f>
        <v>0.94346607964778872</v>
      </c>
      <c r="L83" s="80">
        <f>G83/'[2]PK parameter_nominal (3)'!$G$83</f>
        <v>3.0443141143058797E-2</v>
      </c>
    </row>
    <row r="84" spans="1:12">
      <c r="A84" s="27" t="s">
        <v>17</v>
      </c>
      <c r="B84" s="28"/>
      <c r="C84" s="29"/>
      <c r="D84" s="29"/>
      <c r="E84" s="8">
        <f>COUNT(E80:E83)</f>
        <v>3</v>
      </c>
      <c r="F84" s="8">
        <f t="shared" ref="F84:K84" si="62">COUNT(F80:F83)</f>
        <v>3</v>
      </c>
      <c r="G84" s="8">
        <f t="shared" si="62"/>
        <v>3</v>
      </c>
      <c r="H84" s="8">
        <f t="shared" si="62"/>
        <v>3</v>
      </c>
      <c r="I84" s="8">
        <f t="shared" si="62"/>
        <v>3</v>
      </c>
      <c r="J84" s="8">
        <f t="shared" si="62"/>
        <v>3</v>
      </c>
      <c r="K84" s="8">
        <f t="shared" si="62"/>
        <v>3</v>
      </c>
      <c r="L84" s="59">
        <f>COUNT(L80:L83)</f>
        <v>3</v>
      </c>
    </row>
    <row r="85" spans="1:12">
      <c r="A85" s="32" t="s">
        <v>18</v>
      </c>
      <c r="B85" s="33"/>
      <c r="C85" s="34"/>
      <c r="D85" s="34"/>
      <c r="E85" s="17">
        <f>AVERAGE(E80:E83)</f>
        <v>2</v>
      </c>
      <c r="F85" s="21">
        <f t="shared" ref="F85:K85" si="63">AVERAGE(F80:F83)</f>
        <v>111.80666666666667</v>
      </c>
      <c r="G85" s="21">
        <f t="shared" si="63"/>
        <v>246.82583333333332</v>
      </c>
      <c r="H85" s="17">
        <f t="shared" si="63"/>
        <v>4</v>
      </c>
      <c r="I85" s="21">
        <f t="shared" si="63"/>
        <v>36.233333333333327</v>
      </c>
      <c r="J85" s="17">
        <f t="shared" si="63"/>
        <v>1.0065652970724173</v>
      </c>
      <c r="K85" s="17">
        <f t="shared" si="63"/>
        <v>0.99359197674933386</v>
      </c>
      <c r="L85" s="60">
        <f>AVERAGE(L80:L83)</f>
        <v>3.4089828581198293E-2</v>
      </c>
    </row>
    <row r="86" spans="1:12">
      <c r="A86" s="32" t="s">
        <v>19</v>
      </c>
      <c r="B86" s="33"/>
      <c r="C86" s="34"/>
      <c r="D86" s="34"/>
      <c r="E86" s="17">
        <f>STDEV(E80:E83)</f>
        <v>0</v>
      </c>
      <c r="F86" s="21">
        <f t="shared" ref="F86" si="64">STDEV(F80:F83)</f>
        <v>30.400398571948521</v>
      </c>
      <c r="G86" s="21">
        <f>STDEV(L3,L6,L20,L34:L35,L37,L49:L51,L65:L68,L81:L83)</f>
        <v>2.3415530760957093E-2</v>
      </c>
      <c r="H86" s="17">
        <f t="shared" ref="H86:K86" si="65">STDEV(H80:H83)</f>
        <v>0</v>
      </c>
      <c r="I86" s="21">
        <f t="shared" si="65"/>
        <v>30.628999874846283</v>
      </c>
      <c r="J86" s="17">
        <f t="shared" si="65"/>
        <v>0.12993562610503684</v>
      </c>
      <c r="K86" s="17">
        <f t="shared" si="65"/>
        <v>0.21233344128925713</v>
      </c>
      <c r="L86" s="60">
        <f>STDEV(L80:L83)</f>
        <v>5.969768777006848E-3</v>
      </c>
    </row>
    <row r="87" spans="1:12">
      <c r="A87" s="32" t="s">
        <v>20</v>
      </c>
      <c r="B87" s="33"/>
      <c r="C87" s="34"/>
      <c r="D87" s="34"/>
      <c r="E87" s="17">
        <f>MIN(E80:E83)</f>
        <v>2</v>
      </c>
      <c r="F87" s="21">
        <f t="shared" ref="F87:K87" si="66">MIN(F80:F83)</f>
        <v>94.22</v>
      </c>
      <c r="G87" s="21">
        <f t="shared" si="66"/>
        <v>169.6575</v>
      </c>
      <c r="H87" s="17">
        <f t="shared" si="66"/>
        <v>4</v>
      </c>
      <c r="I87" s="21">
        <f t="shared" si="66"/>
        <v>17.29</v>
      </c>
      <c r="J87" s="17">
        <f t="shared" si="66"/>
        <v>0.89433464914558769</v>
      </c>
      <c r="K87" s="17">
        <f t="shared" si="66"/>
        <v>0.81080633589050166</v>
      </c>
      <c r="L87" s="60">
        <f>MIN(L80:L83)</f>
        <v>3.0443141143058797E-2</v>
      </c>
    </row>
    <row r="88" spans="1:12">
      <c r="A88" s="32" t="s">
        <v>21</v>
      </c>
      <c r="B88" s="33"/>
      <c r="C88" s="34"/>
      <c r="D88" s="34"/>
      <c r="E88" s="17">
        <f>MEDIAN(E80:E83)</f>
        <v>2</v>
      </c>
      <c r="F88" s="21">
        <f t="shared" ref="F88:K88" si="67">MEDIAN(F80:F83)</f>
        <v>94.29</v>
      </c>
      <c r="G88" s="21">
        <f t="shared" si="67"/>
        <v>226.44749999999999</v>
      </c>
      <c r="H88" s="17">
        <f t="shared" si="67"/>
        <v>4</v>
      </c>
      <c r="I88" s="21">
        <f t="shared" si="67"/>
        <v>19.84</v>
      </c>
      <c r="J88" s="17">
        <f t="shared" si="67"/>
        <v>0.9764456038980639</v>
      </c>
      <c r="K88" s="17">
        <f t="shared" si="67"/>
        <v>0.94346607964778872</v>
      </c>
      <c r="L88" s="60">
        <f>MEDIAN(L80:L83)</f>
        <v>3.0847168717826338E-2</v>
      </c>
    </row>
    <row r="89" spans="1:12">
      <c r="A89" s="32" t="s">
        <v>22</v>
      </c>
      <c r="B89" s="33"/>
      <c r="C89" s="34"/>
      <c r="D89" s="34"/>
      <c r="E89" s="17">
        <f>MAX(E80:E83)</f>
        <v>2</v>
      </c>
      <c r="F89" s="21">
        <f t="shared" ref="F89:K89" si="68">MAX(F80:F83)</f>
        <v>146.91</v>
      </c>
      <c r="G89" s="21">
        <f t="shared" si="68"/>
        <v>344.3725</v>
      </c>
      <c r="H89" s="17">
        <f t="shared" si="68"/>
        <v>4</v>
      </c>
      <c r="I89" s="21">
        <f t="shared" si="68"/>
        <v>71.569999999999993</v>
      </c>
      <c r="J89" s="17">
        <f t="shared" si="68"/>
        <v>1.1489156381735997</v>
      </c>
      <c r="K89" s="17">
        <f t="shared" si="68"/>
        <v>1.2265035147097112</v>
      </c>
      <c r="L89" s="60">
        <f>MAX(L80:L83)</f>
        <v>4.0979175882709759E-2</v>
      </c>
    </row>
    <row r="90" spans="1:12">
      <c r="A90" s="32" t="s">
        <v>23</v>
      </c>
      <c r="B90" s="33"/>
      <c r="C90" s="34"/>
      <c r="D90" s="34"/>
      <c r="E90" s="17">
        <f>GEOMEAN(E80:E83)</f>
        <v>2</v>
      </c>
      <c r="F90" s="21">
        <f t="shared" ref="F90:K90" si="69">GEOMEAN(F80:F83)</f>
        <v>109.2831902818081</v>
      </c>
      <c r="G90" s="21">
        <f t="shared" si="69"/>
        <v>236.5137272881193</v>
      </c>
      <c r="H90" s="17">
        <f t="shared" si="69"/>
        <v>4</v>
      </c>
      <c r="I90" s="21">
        <f t="shared" si="69"/>
        <v>29.064033990810902</v>
      </c>
      <c r="J90" s="17">
        <f t="shared" si="69"/>
        <v>1.0011029721191793</v>
      </c>
      <c r="K90" s="17">
        <f t="shared" si="69"/>
        <v>0.97897305933654444</v>
      </c>
      <c r="L90" s="60">
        <f>GEOMEAN(L80:L83)</f>
        <v>3.3761572268394879E-2</v>
      </c>
    </row>
    <row r="91" spans="1:12">
      <c r="A91" s="36" t="s">
        <v>24</v>
      </c>
      <c r="B91" s="37"/>
      <c r="C91" s="38"/>
      <c r="D91" s="38"/>
      <c r="E91" s="41">
        <f>(E86/E85)*100</f>
        <v>0</v>
      </c>
      <c r="F91" s="40">
        <f t="shared" ref="F91:L91" si="70">(F86/F85)*100</f>
        <v>27.190148385858198</v>
      </c>
      <c r="G91" s="40">
        <f t="shared" si="70"/>
        <v>9.4866612804401593E-3</v>
      </c>
      <c r="H91" s="41">
        <f t="shared" si="70"/>
        <v>0</v>
      </c>
      <c r="I91" s="40">
        <f t="shared" si="70"/>
        <v>84.532658348241824</v>
      </c>
      <c r="J91" s="40">
        <f t="shared" si="70"/>
        <v>12.908812422100485</v>
      </c>
      <c r="K91" s="40">
        <f t="shared" si="70"/>
        <v>21.370285414736717</v>
      </c>
      <c r="L91" s="73">
        <f t="shared" si="70"/>
        <v>17.511876783972387</v>
      </c>
    </row>
    <row r="92" spans="1:12" ht="15.6" thickBot="1">
      <c r="A92" s="44" t="s">
        <v>25</v>
      </c>
      <c r="B92" s="45"/>
      <c r="C92" s="46"/>
      <c r="D92" s="46"/>
      <c r="E92" s="47">
        <f>SQRT(EXP((STDEV(LN(E81),LN(E82),LN(E83)))^2)-1)*100</f>
        <v>0</v>
      </c>
      <c r="F92" s="47">
        <f t="shared" ref="F92:I92" si="71">SQRT(EXP((STDEV(LN(F81),LN(F82),LN(F83)))^2)-1)*100</f>
        <v>26.050186152467724</v>
      </c>
      <c r="G92" s="47">
        <f t="shared" si="71"/>
        <v>36.75495332359516</v>
      </c>
      <c r="H92" s="24">
        <f t="shared" si="71"/>
        <v>0</v>
      </c>
      <c r="I92" s="47">
        <f t="shared" si="71"/>
        <v>92.058235268408268</v>
      </c>
      <c r="J92" s="47">
        <f>SQRT(EXP((STDEV(LN(J81),LN(J82),LN(J83)))^2)-1)*100</f>
        <v>12.761037449323265</v>
      </c>
      <c r="K92" s="47">
        <f>SQRT(EXP((STDEV(LN(K81),LN(K82),LN(K83)))^2)-1)*100</f>
        <v>21.172206146348831</v>
      </c>
      <c r="L92" s="74">
        <f>SQRT(EXP((STDEV(LN(L81),LN(L82),LN(L83)))^2)-1)*100</f>
        <v>16.910446552622851</v>
      </c>
    </row>
    <row r="95" spans="1:12">
      <c r="I95" s="11" t="s">
        <v>17</v>
      </c>
      <c r="J95" s="11">
        <f>COUNT(J18,J20,J21,J49,J50,J51,J81,J82,J83)</f>
        <v>9</v>
      </c>
      <c r="L95" s="11">
        <f>COUNT(L3,L6,L20,L34:L35,L37,L49:L51,L65:L68,L81:L83)</f>
        <v>16</v>
      </c>
    </row>
    <row r="96" spans="1:12">
      <c r="I96" s="11" t="s">
        <v>18</v>
      </c>
      <c r="J96" s="81">
        <f>AVERAGE(J18,J20:J21,J49:J51,J81:J83)</f>
        <v>1.1143310471433752</v>
      </c>
      <c r="L96" s="81">
        <f>AVERAGE(L3,L6,L20,L34:L35,L37,L49:L51,L65:L68,L81:L83)</f>
        <v>3.8793783926915612E-2</v>
      </c>
    </row>
    <row r="97" spans="9:12">
      <c r="I97" s="11" t="s">
        <v>19</v>
      </c>
      <c r="J97" s="81">
        <f>STDEV(J18,J20:J21,J49:J51,J81:J83)</f>
        <v>0.55198791893813248</v>
      </c>
      <c r="L97" s="81">
        <f>STDEV(L3,L6,L20,L34:L35,L37,L49:L51,L65:L68,L81:L83)</f>
        <v>2.3415530760957093E-2</v>
      </c>
    </row>
    <row r="98" spans="9:12">
      <c r="I98" s="11" t="s">
        <v>20</v>
      </c>
      <c r="J98" s="81">
        <f>MIN(J18,J20:J21,J49:J51,J81:J83)</f>
        <v>0.32347453527745146</v>
      </c>
      <c r="L98" s="81">
        <f>MIN(L3,L6,L20,L34:L35,L37,L49:L51,L65:L68,L81:L83)</f>
        <v>1.1898626747782763E-2</v>
      </c>
    </row>
    <row r="99" spans="9:12">
      <c r="I99" s="11" t="s">
        <v>21</v>
      </c>
      <c r="J99" s="81">
        <f>MEDIAN(J18,J20:J21,J49:J51,J81:J83)</f>
        <v>1.0833413623663166</v>
      </c>
      <c r="L99" s="81">
        <f>MEDIAN(L3,L6,L20,L34:L35,L37,L49:L51,L65:L68,L81:L83)</f>
        <v>3.3960556421873567E-2</v>
      </c>
    </row>
    <row r="100" spans="9:12">
      <c r="I100" s="11" t="s">
        <v>22</v>
      </c>
      <c r="J100" s="81">
        <f>MAX(J49:J51,J81:J83,J18,J20:J21)</f>
        <v>2.2591704414246383</v>
      </c>
      <c r="L100" s="81">
        <f>MAX(L3,L6,L20,L34:L35,L37,L49:L51,L65:L68,L81:L83)</f>
        <v>0.11051442552021572</v>
      </c>
    </row>
    <row r="101" spans="9:12">
      <c r="I101" s="11" t="s">
        <v>23</v>
      </c>
      <c r="J101" s="81">
        <f>GEOMEAN(J18,J20:J21,J49:J51,J81:J83)</f>
        <v>0.98607554670713615</v>
      </c>
      <c r="L101" s="82">
        <f>GEOMEAN(L3,L6,L20,L34:L35,L37,L49:L51,L65:L68,L81:L83)</f>
        <v>3.3559278485191212E-2</v>
      </c>
    </row>
    <row r="102" spans="9:12">
      <c r="I102" s="11" t="s">
        <v>24</v>
      </c>
      <c r="J102" s="83">
        <f t="shared" ref="J102:L102" si="72">(J97/J96)*100</f>
        <v>49.535362076931442</v>
      </c>
      <c r="L102" s="84">
        <f t="shared" si="72"/>
        <v>60.358976079956726</v>
      </c>
    </row>
    <row r="103" spans="9:12">
      <c r="I103" s="11" t="s">
        <v>25</v>
      </c>
      <c r="J103" s="83">
        <f>SQRT(EXP((STDEV(LN(J18),LN(J20),LN(J21),LN(J49),LN(J50),LN(J51),LN(J81),LN(J82),LN(J51),LN(J83)))^2)-1)*100</f>
        <v>56.329577007122801</v>
      </c>
      <c r="L103" s="84">
        <f>SQRT(EXP((STDEV(LN(L3),LN(L6),LN(L20),LN(L34),LN(L35),LN(L37),LN(L49),LN(L50),LN(L51),LN(L65),LN(L66),LN(L67),LN(L68),LN(L81),LN(L82),LN(L83)))^2)-1)*100</f>
        <v>60.063188406009537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CEAC6-D745-487C-B4E7-268E5495C100}">
  <dimension ref="A1:K92"/>
  <sheetViews>
    <sheetView workbookViewId="0">
      <selection activeCell="F34" sqref="F34"/>
    </sheetView>
  </sheetViews>
  <sheetFormatPr defaultColWidth="8.7109375" defaultRowHeight="14.85"/>
  <cols>
    <col min="1" max="1" width="14.85546875" style="67" bestFit="1" customWidth="1"/>
    <col min="2" max="2" width="12.5703125" style="67" customWidth="1"/>
    <col min="3" max="3" width="13.42578125" style="67" customWidth="1"/>
    <col min="4" max="4" width="14.140625" style="67" customWidth="1"/>
    <col min="5" max="5" width="12.85546875" style="67" customWidth="1"/>
    <col min="6" max="6" width="12" style="67" bestFit="1" customWidth="1"/>
    <col min="7" max="7" width="16.140625" style="67" bestFit="1" customWidth="1"/>
    <col min="8" max="8" width="12" style="67" customWidth="1"/>
    <col min="9" max="11" width="15.140625" style="67" customWidth="1"/>
    <col min="12" max="16384" width="8.7109375" style="67"/>
  </cols>
  <sheetData>
    <row r="1" spans="1:11" ht="15.6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7.45" thickBot="1">
      <c r="A2" s="2" t="s">
        <v>1</v>
      </c>
      <c r="B2" s="3" t="s">
        <v>2</v>
      </c>
      <c r="C2" s="3" t="s">
        <v>3</v>
      </c>
      <c r="D2" s="3" t="s">
        <v>4</v>
      </c>
      <c r="E2" s="85" t="s">
        <v>5</v>
      </c>
      <c r="F2" s="85" t="s">
        <v>6</v>
      </c>
      <c r="G2" s="85" t="s">
        <v>7</v>
      </c>
      <c r="H2" s="85" t="s">
        <v>8</v>
      </c>
      <c r="I2" s="85" t="s">
        <v>10</v>
      </c>
      <c r="J2" s="85" t="s">
        <v>11</v>
      </c>
      <c r="K2" s="86" t="s">
        <v>12</v>
      </c>
    </row>
    <row r="3" spans="1:11">
      <c r="A3" s="87" t="s">
        <v>13</v>
      </c>
      <c r="B3" s="88">
        <v>1</v>
      </c>
      <c r="C3" s="88">
        <f>[3]WNL_results!D3</f>
        <v>5</v>
      </c>
      <c r="D3" s="88">
        <v>300</v>
      </c>
      <c r="E3" s="89">
        <f>[3]WNL_results!F3</f>
        <v>1</v>
      </c>
      <c r="F3" s="90">
        <f>[3]WNL_results!G3</f>
        <v>777.33</v>
      </c>
      <c r="G3" s="90">
        <f>[3]WNL_results!H3</f>
        <v>969.89750000000004</v>
      </c>
      <c r="H3" s="89">
        <f>[3]WNL_results!I3</f>
        <v>4</v>
      </c>
      <c r="I3" s="89"/>
      <c r="J3" s="89"/>
      <c r="K3" s="91">
        <f>G3/'[2]PK parameter_nominal (3)'!$G$3</f>
        <v>0.23068616765402455</v>
      </c>
    </row>
    <row r="4" spans="1:11">
      <c r="A4" s="65" t="s">
        <v>14</v>
      </c>
      <c r="B4" s="20">
        <v>1</v>
      </c>
      <c r="C4" s="14">
        <f>[3]WNL_results!D5</f>
        <v>3</v>
      </c>
      <c r="D4" s="20">
        <v>300</v>
      </c>
      <c r="E4" s="92">
        <f>[3]WNL_results!F5</f>
        <v>2</v>
      </c>
      <c r="F4" s="93">
        <f>[3]WNL_results!G5</f>
        <v>508.05</v>
      </c>
      <c r="G4" s="93">
        <f>[3]WNL_results!H5</f>
        <v>405.47750000000002</v>
      </c>
      <c r="H4" s="92">
        <f>[3]WNL_results!I5</f>
        <v>2</v>
      </c>
      <c r="I4" s="61"/>
      <c r="J4" s="61"/>
      <c r="K4" s="94">
        <f>G4/'[2]PK parameter_nominal (3)'!$G$4</f>
        <v>0.4482023931246028</v>
      </c>
    </row>
    <row r="5" spans="1:11">
      <c r="A5" s="65" t="s">
        <v>15</v>
      </c>
      <c r="B5" s="20">
        <v>1</v>
      </c>
      <c r="C5" s="20">
        <f>[3]WNL_results!D7</f>
        <v>5</v>
      </c>
      <c r="D5" s="20">
        <v>300</v>
      </c>
      <c r="E5" s="61">
        <f>[3]WNL_results!F7</f>
        <v>1</v>
      </c>
      <c r="F5" s="66">
        <f>[3]WNL_results!G7</f>
        <v>394.95</v>
      </c>
      <c r="G5" s="66">
        <f>[3]WNL_results!H7</f>
        <v>775.52750000000003</v>
      </c>
      <c r="H5" s="61">
        <f>[3]WNL_results!I7</f>
        <v>4</v>
      </c>
      <c r="I5" s="61"/>
      <c r="J5" s="61"/>
      <c r="K5" s="94">
        <f>G5/'[2]PK parameter_nominal (3)'!$G$5</f>
        <v>0.46714584312166441</v>
      </c>
    </row>
    <row r="6" spans="1:11" ht="15.6" thickBot="1">
      <c r="A6" s="68" t="s">
        <v>16</v>
      </c>
      <c r="B6" s="69">
        <v>1</v>
      </c>
      <c r="C6" s="69">
        <f>[3]WNL_results!D9</f>
        <v>5</v>
      </c>
      <c r="D6" s="69">
        <v>300</v>
      </c>
      <c r="E6" s="70">
        <f>[3]WNL_results!F9</f>
        <v>1</v>
      </c>
      <c r="F6" s="71">
        <f>[3]WNL_results!G9</f>
        <v>1700</v>
      </c>
      <c r="G6" s="71">
        <f>[3]WNL_results!H9</f>
        <v>1585.83</v>
      </c>
      <c r="H6" s="70">
        <f>[3]WNL_results!I9</f>
        <v>4</v>
      </c>
      <c r="I6" s="70"/>
      <c r="J6" s="70"/>
      <c r="K6" s="95">
        <f>G6/'[2]PK parameter_nominal (3)'!$G$6</f>
        <v>0.72593065611985996</v>
      </c>
    </row>
    <row r="7" spans="1:11">
      <c r="A7" s="27" t="s">
        <v>17</v>
      </c>
      <c r="B7" s="96"/>
      <c r="C7" s="97"/>
      <c r="D7" s="97"/>
      <c r="E7" s="90">
        <f>COUNT(E3,E5:E6)</f>
        <v>3</v>
      </c>
      <c r="F7" s="90">
        <f t="shared" ref="F7:H7" si="0">COUNT(F3,F5:F6)</f>
        <v>3</v>
      </c>
      <c r="G7" s="90">
        <f t="shared" si="0"/>
        <v>3</v>
      </c>
      <c r="H7" s="90">
        <f t="shared" si="0"/>
        <v>3</v>
      </c>
      <c r="I7" s="90">
        <f t="shared" ref="I7:J7" si="1">COUNT(I3:I6)</f>
        <v>0</v>
      </c>
      <c r="J7" s="90">
        <f t="shared" si="1"/>
        <v>0</v>
      </c>
      <c r="K7" s="98">
        <f>COUNT(K3,K6)</f>
        <v>2</v>
      </c>
    </row>
    <row r="8" spans="1:11">
      <c r="A8" s="32" t="s">
        <v>18</v>
      </c>
      <c r="B8" s="99"/>
      <c r="C8" s="100"/>
      <c r="D8" s="100"/>
      <c r="E8" s="61">
        <f>AVERAGE(E3,E5:E6)</f>
        <v>1</v>
      </c>
      <c r="F8" s="66">
        <f t="shared" ref="F8:H8" si="2">AVERAGE(F3,F5:F6)</f>
        <v>957.42666666666662</v>
      </c>
      <c r="G8" s="66">
        <f t="shared" si="2"/>
        <v>1110.4183333333333</v>
      </c>
      <c r="H8" s="61">
        <f t="shared" si="2"/>
        <v>4</v>
      </c>
      <c r="I8" s="61"/>
      <c r="J8" s="61"/>
      <c r="K8" s="101">
        <f>AVERAGE(K3,K6)</f>
        <v>0.47830841188694229</v>
      </c>
    </row>
    <row r="9" spans="1:11">
      <c r="A9" s="32" t="s">
        <v>19</v>
      </c>
      <c r="B9" s="99"/>
      <c r="C9" s="100"/>
      <c r="D9" s="100"/>
      <c r="E9" s="61">
        <f>STDEV(E3,E5:E6)</f>
        <v>0</v>
      </c>
      <c r="F9" s="66">
        <f t="shared" ref="F9:H9" si="3">STDEV(F3,F5:F6)</f>
        <v>670.90609077078261</v>
      </c>
      <c r="G9" s="66">
        <f t="shared" si="3"/>
        <v>423.03323016884059</v>
      </c>
      <c r="H9" s="61">
        <f t="shared" si="3"/>
        <v>0</v>
      </c>
      <c r="I9" s="61"/>
      <c r="J9" s="61"/>
      <c r="K9" s="101">
        <f>STDEV(K3,K6)</f>
        <v>0.35019073613945495</v>
      </c>
    </row>
    <row r="10" spans="1:11">
      <c r="A10" s="32" t="s">
        <v>20</v>
      </c>
      <c r="B10" s="99"/>
      <c r="C10" s="100"/>
      <c r="D10" s="100"/>
      <c r="E10" s="61">
        <f>MIN(E3,E5:E6)</f>
        <v>1</v>
      </c>
      <c r="F10" s="66">
        <f t="shared" ref="F10:H10" si="4">MIN(F3,F5:F6)</f>
        <v>394.95</v>
      </c>
      <c r="G10" s="66">
        <f t="shared" si="4"/>
        <v>775.52750000000003</v>
      </c>
      <c r="H10" s="61">
        <f t="shared" si="4"/>
        <v>4</v>
      </c>
      <c r="I10" s="61"/>
      <c r="J10" s="61"/>
      <c r="K10" s="101">
        <f>MIN(K3,K6)</f>
        <v>0.23068616765402455</v>
      </c>
    </row>
    <row r="11" spans="1:11">
      <c r="A11" s="32" t="s">
        <v>21</v>
      </c>
      <c r="B11" s="99"/>
      <c r="C11" s="100"/>
      <c r="D11" s="100"/>
      <c r="E11" s="61">
        <f>MEDIAN(E3,E5:E6)</f>
        <v>1</v>
      </c>
      <c r="F11" s="66">
        <f t="shared" ref="F11:H11" si="5">MEDIAN(F3,F5:F6)</f>
        <v>777.33</v>
      </c>
      <c r="G11" s="66">
        <f t="shared" si="5"/>
        <v>969.89750000000004</v>
      </c>
      <c r="H11" s="61">
        <f t="shared" si="5"/>
        <v>4</v>
      </c>
      <c r="I11" s="61"/>
      <c r="J11" s="61"/>
      <c r="K11" s="101">
        <f>MEDIAN(K3,K6)</f>
        <v>0.47830841188694229</v>
      </c>
    </row>
    <row r="12" spans="1:11">
      <c r="A12" s="32" t="s">
        <v>22</v>
      </c>
      <c r="B12" s="99"/>
      <c r="C12" s="100"/>
      <c r="D12" s="100"/>
      <c r="E12" s="61">
        <f>MAX(E3,E5:E6)</f>
        <v>1</v>
      </c>
      <c r="F12" s="66">
        <f t="shared" ref="F12:H12" si="6">MAX(F3,F5:F6)</f>
        <v>1700</v>
      </c>
      <c r="G12" s="66">
        <f t="shared" si="6"/>
        <v>1585.83</v>
      </c>
      <c r="H12" s="61">
        <f t="shared" si="6"/>
        <v>4</v>
      </c>
      <c r="I12" s="61"/>
      <c r="J12" s="61"/>
      <c r="K12" s="101">
        <f>MAX(K3,K6)</f>
        <v>0.72593065611985996</v>
      </c>
    </row>
    <row r="13" spans="1:11">
      <c r="A13" s="32" t="s">
        <v>23</v>
      </c>
      <c r="B13" s="99"/>
      <c r="C13" s="100"/>
      <c r="D13" s="100"/>
      <c r="E13" s="61">
        <f>GEOMEAN(E3,E5:E6)</f>
        <v>1</v>
      </c>
      <c r="F13" s="66">
        <f t="shared" ref="F13:H13" si="7">GEOMEAN(F3,F5:F6)</f>
        <v>805.12903655314642</v>
      </c>
      <c r="G13" s="66">
        <f t="shared" si="7"/>
        <v>1060.5387886145984</v>
      </c>
      <c r="H13" s="61">
        <f t="shared" si="7"/>
        <v>4</v>
      </c>
      <c r="I13" s="61"/>
      <c r="J13" s="61"/>
      <c r="K13" s="101">
        <f>GEOMEAN(K3,K6)</f>
        <v>0.40922140833888698</v>
      </c>
    </row>
    <row r="14" spans="1:11">
      <c r="A14" s="36" t="s">
        <v>24</v>
      </c>
      <c r="B14" s="102"/>
      <c r="C14" s="103"/>
      <c r="D14" s="103"/>
      <c r="E14" s="104">
        <f>(E9/E8)*100</f>
        <v>0</v>
      </c>
      <c r="F14" s="105">
        <f t="shared" ref="F14:H14" si="8">(F9/F8)*100</f>
        <v>70.073888071927101</v>
      </c>
      <c r="G14" s="105">
        <f t="shared" si="8"/>
        <v>38.096744035101544</v>
      </c>
      <c r="H14" s="104">
        <f t="shared" si="8"/>
        <v>0</v>
      </c>
      <c r="I14" s="104"/>
      <c r="J14" s="104"/>
      <c r="K14" s="106">
        <f t="shared" ref="K14" si="9">(K9/K8)*100</f>
        <v>73.21442137259119</v>
      </c>
    </row>
    <row r="15" spans="1:11" ht="15.6" thickBot="1">
      <c r="A15" s="44" t="s">
        <v>25</v>
      </c>
      <c r="B15" s="107"/>
      <c r="C15" s="108"/>
      <c r="D15" s="108"/>
      <c r="E15" s="109">
        <f>SQRT(EXP((STDEV(LN(E3),LN(E5),LN(E6)))^2)-1)*100</f>
        <v>0</v>
      </c>
      <c r="F15" s="109">
        <f t="shared" ref="F15:H15" si="10">SQRT(EXP((STDEV(LN(F3),LN(F5),LN(F6)))^2)-1)*100</f>
        <v>83.962926894585635</v>
      </c>
      <c r="G15" s="109">
        <f t="shared" si="10"/>
        <v>37.853213968198013</v>
      </c>
      <c r="H15" s="109">
        <f t="shared" si="10"/>
        <v>0</v>
      </c>
      <c r="I15" s="70"/>
      <c r="J15" s="70"/>
      <c r="K15" s="110">
        <f>SQRT(EXP((STDEV(LN(K3),LN(K6)))^2)-1)*100</f>
        <v>96.395702848267774</v>
      </c>
    </row>
    <row r="16" spans="1:11" ht="15.6" thickBot="1">
      <c r="A16" s="50"/>
      <c r="C16" s="111"/>
      <c r="D16" s="111"/>
      <c r="E16" s="112"/>
      <c r="F16" s="112"/>
      <c r="G16" s="112"/>
      <c r="H16" s="112"/>
      <c r="I16" s="112"/>
      <c r="J16" s="112"/>
    </row>
    <row r="17" spans="1:11" ht="17.45" thickBot="1">
      <c r="A17" s="2" t="s">
        <v>1</v>
      </c>
      <c r="B17" s="3" t="s">
        <v>2</v>
      </c>
      <c r="C17" s="3" t="s">
        <v>3</v>
      </c>
      <c r="D17" s="3" t="s">
        <v>4</v>
      </c>
      <c r="E17" s="85" t="s">
        <v>5</v>
      </c>
      <c r="F17" s="85" t="s">
        <v>6</v>
      </c>
      <c r="G17" s="85" t="s">
        <v>7</v>
      </c>
      <c r="H17" s="85" t="s">
        <v>8</v>
      </c>
      <c r="I17" s="85" t="s">
        <v>10</v>
      </c>
      <c r="J17" s="85" t="s">
        <v>11</v>
      </c>
      <c r="K17" s="113" t="s">
        <v>12</v>
      </c>
    </row>
    <row r="18" spans="1:11">
      <c r="A18" s="87" t="s">
        <v>13</v>
      </c>
      <c r="B18" s="88">
        <v>5</v>
      </c>
      <c r="C18" s="88">
        <f>[3]WNL_results!D4</f>
        <v>5</v>
      </c>
      <c r="D18" s="88">
        <v>300</v>
      </c>
      <c r="E18" s="89">
        <f>[3]WNL_results!F4</f>
        <v>2</v>
      </c>
      <c r="F18" s="90">
        <f>[3]WNL_results!G4</f>
        <v>456.16</v>
      </c>
      <c r="G18" s="90">
        <f>[3]WNL_results!H4</f>
        <v>893.45</v>
      </c>
      <c r="H18" s="89">
        <f>[3]WNL_results!I4</f>
        <v>4</v>
      </c>
      <c r="I18" s="89">
        <f>G18/G3</f>
        <v>0.92117981539286364</v>
      </c>
      <c r="J18" s="89">
        <f>F18/F3</f>
        <v>0.58682927456807277</v>
      </c>
      <c r="K18" s="114">
        <f>G18/'[2]PK parameter_nominal (3)'!$G$18</f>
        <v>0.41385996622231941</v>
      </c>
    </row>
    <row r="19" spans="1:11">
      <c r="A19" s="65" t="s">
        <v>14</v>
      </c>
      <c r="B19" s="20">
        <v>5</v>
      </c>
      <c r="C19" s="14">
        <f>[3]WNL_results!D6</f>
        <v>4</v>
      </c>
      <c r="D19" s="20">
        <v>300</v>
      </c>
      <c r="E19" s="54">
        <f>[3]WNL_results!F6</f>
        <v>1</v>
      </c>
      <c r="F19" s="55">
        <f>[3]WNL_results!G6</f>
        <v>1015.38</v>
      </c>
      <c r="G19" s="93">
        <f>[3]WNL_results!H6</f>
        <v>1359.8675000000001</v>
      </c>
      <c r="H19" s="92">
        <f>[3]WNL_results!I6</f>
        <v>2</v>
      </c>
      <c r="I19" s="92">
        <f>G19/G4</f>
        <v>3.3537434259607499</v>
      </c>
      <c r="J19" s="92">
        <f>F19/F4</f>
        <v>1.9985828166519042</v>
      </c>
      <c r="K19" s="115">
        <f>G19/'[2]PK parameter_nominal (3)'!$G$19</f>
        <v>0.7099921553885693</v>
      </c>
    </row>
    <row r="20" spans="1:11">
      <c r="A20" s="65" t="s">
        <v>15</v>
      </c>
      <c r="B20" s="20">
        <v>5</v>
      </c>
      <c r="C20" s="20">
        <f>[3]WNL_results!D8</f>
        <v>5</v>
      </c>
      <c r="D20" s="20">
        <v>300</v>
      </c>
      <c r="E20" s="61">
        <f>[3]WNL_results!F8</f>
        <v>1</v>
      </c>
      <c r="F20" s="66">
        <f>[3]WNL_results!G8</f>
        <v>388.61</v>
      </c>
      <c r="G20" s="66">
        <f>[3]WNL_results!H8</f>
        <v>534.33500000000004</v>
      </c>
      <c r="H20" s="61">
        <f>[3]WNL_results!I8</f>
        <v>4</v>
      </c>
      <c r="I20" s="61">
        <f>G20/G5</f>
        <v>0.68899555463861695</v>
      </c>
      <c r="J20" s="61">
        <f>F20/F5</f>
        <v>0.98394733510570964</v>
      </c>
      <c r="K20" s="116">
        <f>G20/'[2]PK parameter_nominal (3)'!$G$20</f>
        <v>0.22956528090153144</v>
      </c>
    </row>
    <row r="21" spans="1:11" ht="15.6" thickBot="1">
      <c r="A21" s="68" t="s">
        <v>16</v>
      </c>
      <c r="B21" s="69">
        <v>5</v>
      </c>
      <c r="C21" s="69">
        <f>[3]WNL_results!D10</f>
        <v>5</v>
      </c>
      <c r="D21" s="69">
        <v>300</v>
      </c>
      <c r="E21" s="70">
        <f>[3]WNL_results!F10</f>
        <v>1</v>
      </c>
      <c r="F21" s="71">
        <f>[3]WNL_results!G10</f>
        <v>303.77</v>
      </c>
      <c r="G21" s="71">
        <f>[3]WNL_results!H10</f>
        <v>638.00250000000005</v>
      </c>
      <c r="H21" s="70">
        <f>[3]WNL_results!I10</f>
        <v>4</v>
      </c>
      <c r="I21" s="70">
        <f>G21/G6</f>
        <v>0.40231456082934491</v>
      </c>
      <c r="J21" s="70">
        <f>F21/F6</f>
        <v>0.17868823529411765</v>
      </c>
      <c r="K21" s="117">
        <f>G21/'[2]PK parameter_nominal (3)'!$G$21</f>
        <v>0.51614358119723813</v>
      </c>
    </row>
    <row r="22" spans="1:11">
      <c r="A22" s="27" t="s">
        <v>17</v>
      </c>
      <c r="B22" s="96"/>
      <c r="C22" s="97"/>
      <c r="D22" s="97"/>
      <c r="E22" s="90">
        <f>COUNT(E18:E21)</f>
        <v>4</v>
      </c>
      <c r="F22" s="90">
        <f>COUNT(F18:F21)</f>
        <v>4</v>
      </c>
      <c r="G22" s="90">
        <f t="shared" ref="G22:J22" si="11">COUNT(G18,G20:G21)</f>
        <v>3</v>
      </c>
      <c r="H22" s="90">
        <f t="shared" si="11"/>
        <v>3</v>
      </c>
      <c r="I22" s="90">
        <f t="shared" si="11"/>
        <v>3</v>
      </c>
      <c r="J22" s="90">
        <f t="shared" si="11"/>
        <v>3</v>
      </c>
      <c r="K22" s="118">
        <f>COUNT(K20)</f>
        <v>1</v>
      </c>
    </row>
    <row r="23" spans="1:11">
      <c r="A23" s="32" t="s">
        <v>18</v>
      </c>
      <c r="B23" s="99"/>
      <c r="C23" s="100"/>
      <c r="D23" s="100"/>
      <c r="E23" s="61">
        <f>AVERAGE(E18:E21)</f>
        <v>1.25</v>
      </c>
      <c r="F23" s="66">
        <f>AVERAGE(F18:F21)</f>
        <v>540.98</v>
      </c>
      <c r="G23" s="66">
        <f t="shared" ref="G23:J23" si="12">AVERAGE(G18,G20:G21)</f>
        <v>688.59583333333342</v>
      </c>
      <c r="H23" s="61">
        <f t="shared" si="12"/>
        <v>4</v>
      </c>
      <c r="I23" s="61">
        <f t="shared" si="12"/>
        <v>0.67082997695360846</v>
      </c>
      <c r="J23" s="61">
        <f t="shared" si="12"/>
        <v>0.58315494832263337</v>
      </c>
      <c r="K23" s="61">
        <f>AVERAGE(K20)</f>
        <v>0.22956528090153144</v>
      </c>
    </row>
    <row r="24" spans="1:11">
      <c r="A24" s="32" t="s">
        <v>19</v>
      </c>
      <c r="B24" s="99"/>
      <c r="C24" s="100"/>
      <c r="D24" s="100"/>
      <c r="E24" s="61">
        <f>STDEV(E18:E21)</f>
        <v>0.5</v>
      </c>
      <c r="F24" s="66">
        <f>STDEV(F18:F21)</f>
        <v>322.35332240674455</v>
      </c>
      <c r="G24" s="66">
        <f t="shared" ref="G24:J24" si="13">STDEV(G18,G20:G21)</f>
        <v>184.8260258718536</v>
      </c>
      <c r="H24" s="61">
        <f t="shared" si="13"/>
        <v>0</v>
      </c>
      <c r="I24" s="61">
        <f t="shared" si="13"/>
        <v>0.25990917501656019</v>
      </c>
      <c r="J24" s="61">
        <f t="shared" si="13"/>
        <v>0.4026421239293802</v>
      </c>
      <c r="K24" s="61" t="e">
        <f>STDEV(K20)</f>
        <v>#DIV/0!</v>
      </c>
    </row>
    <row r="25" spans="1:11">
      <c r="A25" s="32" t="s">
        <v>20</v>
      </c>
      <c r="B25" s="99"/>
      <c r="C25" s="100"/>
      <c r="D25" s="100"/>
      <c r="E25" s="61">
        <f>MIN(E18:E21)</f>
        <v>1</v>
      </c>
      <c r="F25" s="66">
        <f>MIN(F18:F21)</f>
        <v>303.77</v>
      </c>
      <c r="G25" s="66">
        <f t="shared" ref="G25:J25" si="14">MIN(G18,G20:G21)</f>
        <v>534.33500000000004</v>
      </c>
      <c r="H25" s="61">
        <f t="shared" si="14"/>
        <v>4</v>
      </c>
      <c r="I25" s="61">
        <f t="shared" si="14"/>
        <v>0.40231456082934491</v>
      </c>
      <c r="J25" s="61">
        <f t="shared" si="14"/>
        <v>0.17868823529411765</v>
      </c>
      <c r="K25" s="61">
        <f>MIN(K20)</f>
        <v>0.22956528090153144</v>
      </c>
    </row>
    <row r="26" spans="1:11">
      <c r="A26" s="32" t="s">
        <v>21</v>
      </c>
      <c r="B26" s="99"/>
      <c r="C26" s="100"/>
      <c r="D26" s="100"/>
      <c r="E26" s="61">
        <f>MEDIAN(E18:E21)</f>
        <v>1</v>
      </c>
      <c r="F26" s="66">
        <f>MEDIAN(F18:F21)</f>
        <v>422.38499999999999</v>
      </c>
      <c r="G26" s="66">
        <f t="shared" ref="G26:J26" si="15">MEDIAN(G18,G20:G21)</f>
        <v>638.00250000000005</v>
      </c>
      <c r="H26" s="61">
        <f t="shared" si="15"/>
        <v>4</v>
      </c>
      <c r="I26" s="61">
        <f t="shared" si="15"/>
        <v>0.68899555463861695</v>
      </c>
      <c r="J26" s="61">
        <f t="shared" si="15"/>
        <v>0.58682927456807277</v>
      </c>
      <c r="K26" s="61">
        <f>MEDIAN(K20)</f>
        <v>0.22956528090153144</v>
      </c>
    </row>
    <row r="27" spans="1:11">
      <c r="A27" s="32" t="s">
        <v>22</v>
      </c>
      <c r="B27" s="99"/>
      <c r="C27" s="100"/>
      <c r="D27" s="100"/>
      <c r="E27" s="61">
        <f>MAX(E18:E21)</f>
        <v>2</v>
      </c>
      <c r="F27" s="66">
        <f>MAX(F18:F21)</f>
        <v>1015.38</v>
      </c>
      <c r="G27" s="66">
        <f t="shared" ref="G27:J27" si="16">MAX(G18,G20:G21)</f>
        <v>893.45</v>
      </c>
      <c r="H27" s="61">
        <f t="shared" si="16"/>
        <v>4</v>
      </c>
      <c r="I27" s="61">
        <f t="shared" si="16"/>
        <v>0.92117981539286364</v>
      </c>
      <c r="J27" s="61">
        <f t="shared" si="16"/>
        <v>0.98394733510570964</v>
      </c>
      <c r="K27" s="61">
        <f>MAX(K20)</f>
        <v>0.22956528090153144</v>
      </c>
    </row>
    <row r="28" spans="1:11">
      <c r="A28" s="32" t="s">
        <v>23</v>
      </c>
      <c r="B28" s="99"/>
      <c r="C28" s="100"/>
      <c r="D28" s="100"/>
      <c r="E28" s="61">
        <f>GEOMEAN(E18:E21)</f>
        <v>1.189207115002721</v>
      </c>
      <c r="F28" s="66">
        <f>GEOMEAN(F18:F21)</f>
        <v>483.56088583437599</v>
      </c>
      <c r="G28" s="66">
        <f t="shared" ref="G28:J28" si="17">GEOMEAN(G18,G20:G21)</f>
        <v>672.82494615266899</v>
      </c>
      <c r="H28" s="61">
        <f t="shared" si="17"/>
        <v>4</v>
      </c>
      <c r="I28" s="61">
        <f t="shared" si="17"/>
        <v>0.63441804616273656</v>
      </c>
      <c r="J28" s="61">
        <f t="shared" si="17"/>
        <v>0.46902197904493098</v>
      </c>
      <c r="K28" s="61">
        <f>GEOMEAN(K20)</f>
        <v>0.22956528090153144</v>
      </c>
    </row>
    <row r="29" spans="1:11">
      <c r="A29" s="36" t="s">
        <v>24</v>
      </c>
      <c r="B29" s="102"/>
      <c r="C29" s="103"/>
      <c r="D29" s="103"/>
      <c r="E29" s="105">
        <f>(E24/E23)*100</f>
        <v>40</v>
      </c>
      <c r="F29" s="105">
        <f>(F24/F23)*100</f>
        <v>59.586920478898399</v>
      </c>
      <c r="G29" s="105">
        <f t="shared" ref="G29:K29" si="18">(G24/G23)*100</f>
        <v>26.84100264986407</v>
      </c>
      <c r="H29" s="104">
        <f t="shared" si="18"/>
        <v>0</v>
      </c>
      <c r="I29" s="105">
        <f t="shared" si="18"/>
        <v>38.744418697099206</v>
      </c>
      <c r="J29" s="105">
        <f t="shared" si="18"/>
        <v>69.04547840801591</v>
      </c>
      <c r="K29" s="105" t="e">
        <f t="shared" si="18"/>
        <v>#DIV/0!</v>
      </c>
    </row>
    <row r="30" spans="1:11" ht="15.6" thickBot="1">
      <c r="A30" s="44" t="s">
        <v>25</v>
      </c>
      <c r="B30" s="107"/>
      <c r="C30" s="108"/>
      <c r="D30" s="108"/>
      <c r="E30" s="109">
        <f>SQRT(EXP((STDEV(LN(E18),LN(E19),LN(E20),LN(E21)))^2)-1)*100</f>
        <v>35.724578619223358</v>
      </c>
      <c r="F30" s="109">
        <f>SQRT(EXP((STDEV(LN(F18),LN(F19),LN(F20),LN(F21)))^2)-1)*100</f>
        <v>55.974225250029299</v>
      </c>
      <c r="G30" s="109">
        <f t="shared" ref="G30:J30" si="19">SQRT(EXP((STDEV(LN(G18),LN(G20),LN(G21)))^2)-1)*100</f>
        <v>26.563651629334245</v>
      </c>
      <c r="H30" s="70">
        <f t="shared" si="19"/>
        <v>0</v>
      </c>
      <c r="I30" s="109">
        <f t="shared" si="19"/>
        <v>43.95988999009127</v>
      </c>
      <c r="J30" s="109">
        <f t="shared" si="19"/>
        <v>107.21215008531573</v>
      </c>
      <c r="K30" s="109" t="e">
        <f>SQRT(EXP((STDEV(LN(K20)))^2)-1)*100</f>
        <v>#DIV/0!</v>
      </c>
    </row>
    <row r="31" spans="1:11">
      <c r="A31" s="50"/>
      <c r="C31" s="111"/>
      <c r="D31" s="111"/>
      <c r="E31" s="112"/>
      <c r="F31" s="112"/>
      <c r="G31" s="112"/>
      <c r="H31" s="112"/>
      <c r="I31" s="112"/>
      <c r="J31" s="112"/>
    </row>
    <row r="32" spans="1:11" ht="15.6" thickBot="1">
      <c r="A32" s="1" t="s">
        <v>26</v>
      </c>
      <c r="C32" s="111"/>
      <c r="D32" s="111"/>
      <c r="E32" s="112"/>
      <c r="F32" s="112"/>
      <c r="G32" s="112"/>
      <c r="H32" s="112"/>
      <c r="I32" s="112"/>
      <c r="J32" s="112"/>
    </row>
    <row r="33" spans="1:11" ht="17.45" thickBot="1">
      <c r="A33" s="2" t="s">
        <v>1</v>
      </c>
      <c r="B33" s="3" t="s">
        <v>2</v>
      </c>
      <c r="C33" s="3" t="s">
        <v>3</v>
      </c>
      <c r="D33" s="3" t="s">
        <v>4</v>
      </c>
      <c r="E33" s="85" t="s">
        <v>5</v>
      </c>
      <c r="F33" s="85" t="s">
        <v>6</v>
      </c>
      <c r="G33" s="85" t="s">
        <v>7</v>
      </c>
      <c r="H33" s="85" t="s">
        <v>8</v>
      </c>
      <c r="I33" s="85" t="s">
        <v>10</v>
      </c>
      <c r="J33" s="85" t="s">
        <v>11</v>
      </c>
      <c r="K33" s="113" t="s">
        <v>12</v>
      </c>
    </row>
    <row r="34" spans="1:11">
      <c r="A34" s="87" t="s">
        <v>27</v>
      </c>
      <c r="B34" s="88">
        <v>1</v>
      </c>
      <c r="C34" s="88">
        <f>[3]WNL_results!D11</f>
        <v>5</v>
      </c>
      <c r="D34" s="88">
        <v>600</v>
      </c>
      <c r="E34" s="89">
        <f>[3]WNL_results!F11</f>
        <v>2</v>
      </c>
      <c r="F34" s="90">
        <f>[3]WNL_results!G11</f>
        <v>239.04</v>
      </c>
      <c r="G34" s="90">
        <f>[3]WNL_results!H11</f>
        <v>569.74749999999995</v>
      </c>
      <c r="H34" s="89">
        <f>[3]WNL_results!I11</f>
        <v>4</v>
      </c>
      <c r="I34" s="89"/>
      <c r="J34" s="89"/>
      <c r="K34" s="119">
        <f>G34/'[2]PK parameter_nominal (3)'!$G$34</f>
        <v>0.12030586011940897</v>
      </c>
    </row>
    <row r="35" spans="1:11">
      <c r="A35" s="65" t="s">
        <v>28</v>
      </c>
      <c r="B35" s="20">
        <v>1</v>
      </c>
      <c r="C35" s="20">
        <f>[3]WNL_results!D13</f>
        <v>5</v>
      </c>
      <c r="D35" s="20">
        <v>600</v>
      </c>
      <c r="E35" s="61">
        <f>[3]WNL_results!F13</f>
        <v>1</v>
      </c>
      <c r="F35" s="66">
        <f>[3]WNL_results!G13</f>
        <v>916.85</v>
      </c>
      <c r="G35" s="66">
        <f>[3]WNL_results!H13</f>
        <v>1271.2225000000001</v>
      </c>
      <c r="H35" s="61">
        <f>[3]WNL_results!I13</f>
        <v>4</v>
      </c>
      <c r="I35" s="61"/>
      <c r="J35" s="61"/>
      <c r="K35" s="116">
        <f>G35/'[2]PK parameter_nominal (3)'!$G$35</f>
        <v>0.17651406172328662</v>
      </c>
    </row>
    <row r="36" spans="1:11">
      <c r="A36" s="65" t="s">
        <v>29</v>
      </c>
      <c r="B36" s="20">
        <v>1</v>
      </c>
      <c r="C36" s="20">
        <f>[3]WNL_results!D15</f>
        <v>5</v>
      </c>
      <c r="D36" s="20">
        <v>600</v>
      </c>
      <c r="E36" s="61">
        <f>[3]WNL_results!F15</f>
        <v>1</v>
      </c>
      <c r="F36" s="66">
        <f>[3]WNL_results!G15</f>
        <v>136.16999999999999</v>
      </c>
      <c r="G36" s="66">
        <f>[3]WNL_results!H15</f>
        <v>188.5975</v>
      </c>
      <c r="H36" s="61">
        <f>[3]WNL_results!I15</f>
        <v>4</v>
      </c>
      <c r="I36" s="61"/>
      <c r="J36" s="61"/>
      <c r="K36" s="115">
        <f>G36/'[2]PK parameter_nominal (3)'!$G$36</f>
        <v>3.685322802211223E-2</v>
      </c>
    </row>
    <row r="37" spans="1:11" ht="15.6" thickBot="1">
      <c r="A37" s="68" t="s">
        <v>30</v>
      </c>
      <c r="B37" s="69">
        <v>1</v>
      </c>
      <c r="C37" s="69">
        <f>[3]WNL_results!D17</f>
        <v>5</v>
      </c>
      <c r="D37" s="69">
        <v>600</v>
      </c>
      <c r="E37" s="70">
        <f>[3]WNL_results!F17</f>
        <v>1</v>
      </c>
      <c r="F37" s="71">
        <f>[3]WNL_results!G17</f>
        <v>593.41</v>
      </c>
      <c r="G37" s="71">
        <f>[3]WNL_results!H17</f>
        <v>1146.3225</v>
      </c>
      <c r="H37" s="70">
        <f>[3]WNL_results!I17</f>
        <v>4</v>
      </c>
      <c r="I37" s="70"/>
      <c r="J37" s="70"/>
      <c r="K37" s="120">
        <f>G37/'[2]PK parameter_nominal (3)'!$G$37</f>
        <v>0.21217899833784348</v>
      </c>
    </row>
    <row r="38" spans="1:11">
      <c r="A38" s="27" t="s">
        <v>17</v>
      </c>
      <c r="B38" s="96"/>
      <c r="C38" s="97"/>
      <c r="D38" s="97"/>
      <c r="E38" s="90">
        <f>COUNT(E34:E37)</f>
        <v>4</v>
      </c>
      <c r="F38" s="90">
        <f>COUNT(F34:F37)</f>
        <v>4</v>
      </c>
      <c r="G38" s="90">
        <f t="shared" ref="G38:J38" si="20">COUNT(G34:G37)</f>
        <v>4</v>
      </c>
      <c r="H38" s="90">
        <f t="shared" si="20"/>
        <v>4</v>
      </c>
      <c r="I38" s="90">
        <f t="shared" si="20"/>
        <v>0</v>
      </c>
      <c r="J38" s="90">
        <f t="shared" si="20"/>
        <v>0</v>
      </c>
      <c r="K38" s="118">
        <f>COUNT(K34:K35,K37)</f>
        <v>3</v>
      </c>
    </row>
    <row r="39" spans="1:11">
      <c r="A39" s="32" t="s">
        <v>18</v>
      </c>
      <c r="B39" s="99"/>
      <c r="C39" s="100"/>
      <c r="D39" s="100"/>
      <c r="E39" s="61">
        <f>AVERAGE(E34:E37)</f>
        <v>1.25</v>
      </c>
      <c r="F39" s="66">
        <f t="shared" ref="F39:H39" si="21">AVERAGE(F34:F37)</f>
        <v>471.36750000000006</v>
      </c>
      <c r="G39" s="66">
        <f t="shared" si="21"/>
        <v>793.97250000000008</v>
      </c>
      <c r="H39" s="61">
        <f t="shared" si="21"/>
        <v>4</v>
      </c>
      <c r="I39" s="61"/>
      <c r="J39" s="61"/>
      <c r="K39" s="116">
        <f>AVERAGE(K34:K35,K37)</f>
        <v>0.16966630672684635</v>
      </c>
    </row>
    <row r="40" spans="1:11">
      <c r="A40" s="32" t="s">
        <v>19</v>
      </c>
      <c r="B40" s="99"/>
      <c r="C40" s="100"/>
      <c r="D40" s="100"/>
      <c r="E40" s="61">
        <f>STDEV(E34:E37)</f>
        <v>0.5</v>
      </c>
      <c r="F40" s="66">
        <f t="shared" ref="F40:H40" si="22">STDEV(F34:F37)</f>
        <v>355.75387600371494</v>
      </c>
      <c r="G40" s="66">
        <f t="shared" si="22"/>
        <v>506.18633797248992</v>
      </c>
      <c r="H40" s="61">
        <f t="shared" si="22"/>
        <v>0</v>
      </c>
      <c r="I40" s="61"/>
      <c r="J40" s="61"/>
      <c r="K40" s="116">
        <f>STDEV(K34:K35,K37)</f>
        <v>4.6317784844424038E-2</v>
      </c>
    </row>
    <row r="41" spans="1:11">
      <c r="A41" s="32" t="s">
        <v>20</v>
      </c>
      <c r="B41" s="99"/>
      <c r="C41" s="100"/>
      <c r="D41" s="100"/>
      <c r="E41" s="61">
        <f>MIN(E34:E37)</f>
        <v>1</v>
      </c>
      <c r="F41" s="66">
        <f t="shared" ref="F41:H41" si="23">MIN(F34:F37)</f>
        <v>136.16999999999999</v>
      </c>
      <c r="G41" s="66">
        <f t="shared" si="23"/>
        <v>188.5975</v>
      </c>
      <c r="H41" s="61">
        <f t="shared" si="23"/>
        <v>4</v>
      </c>
      <c r="I41" s="61"/>
      <c r="J41" s="61"/>
      <c r="K41" s="116">
        <f>MIN(K34:K35,K37)</f>
        <v>0.12030586011940897</v>
      </c>
    </row>
    <row r="42" spans="1:11">
      <c r="A42" s="32" t="s">
        <v>21</v>
      </c>
      <c r="B42" s="99"/>
      <c r="C42" s="100"/>
      <c r="D42" s="100"/>
      <c r="E42" s="61">
        <f>MEDIAN(E34:E37)</f>
        <v>1</v>
      </c>
      <c r="F42" s="66">
        <f t="shared" ref="F42:H42" si="24">MEDIAN(F34:F37)</f>
        <v>416.22500000000002</v>
      </c>
      <c r="G42" s="66">
        <f t="shared" si="24"/>
        <v>858.03499999999997</v>
      </c>
      <c r="H42" s="61">
        <f t="shared" si="24"/>
        <v>4</v>
      </c>
      <c r="I42" s="61"/>
      <c r="J42" s="61"/>
      <c r="K42" s="116">
        <f>MEDIAN(K34:K35,K37)</f>
        <v>0.17651406172328662</v>
      </c>
    </row>
    <row r="43" spans="1:11">
      <c r="A43" s="32" t="s">
        <v>22</v>
      </c>
      <c r="B43" s="99"/>
      <c r="C43" s="100"/>
      <c r="D43" s="100"/>
      <c r="E43" s="61">
        <f>MAX(E34:E37)</f>
        <v>2</v>
      </c>
      <c r="F43" s="66">
        <f t="shared" ref="F43:H43" si="25">MAX(F34:F37)</f>
        <v>916.85</v>
      </c>
      <c r="G43" s="66">
        <f t="shared" si="25"/>
        <v>1271.2225000000001</v>
      </c>
      <c r="H43" s="61">
        <f t="shared" si="25"/>
        <v>4</v>
      </c>
      <c r="I43" s="61"/>
      <c r="J43" s="61"/>
      <c r="K43" s="116">
        <f>MAX(K34:K35,K37)</f>
        <v>0.21217899833784348</v>
      </c>
    </row>
    <row r="44" spans="1:11">
      <c r="A44" s="32" t="s">
        <v>23</v>
      </c>
      <c r="B44" s="99"/>
      <c r="C44" s="100"/>
      <c r="D44" s="100"/>
      <c r="E44" s="61">
        <f>GEOMEAN(E34:E37)</f>
        <v>1.189207115002721</v>
      </c>
      <c r="F44" s="66">
        <f t="shared" ref="F44:H44" si="26">GEOMEAN(F34:F37)</f>
        <v>364.79702835396915</v>
      </c>
      <c r="G44" s="66">
        <f t="shared" si="26"/>
        <v>629.05220195520815</v>
      </c>
      <c r="H44" s="61">
        <f t="shared" si="26"/>
        <v>4</v>
      </c>
      <c r="I44" s="61"/>
      <c r="J44" s="61"/>
      <c r="K44" s="116">
        <f>GEOMEAN(K34:K35,K37)</f>
        <v>0.1651668281040802</v>
      </c>
    </row>
    <row r="45" spans="1:11">
      <c r="A45" s="36" t="s">
        <v>24</v>
      </c>
      <c r="B45" s="102"/>
      <c r="C45" s="103"/>
      <c r="D45" s="103"/>
      <c r="E45" s="105">
        <f>(E40/E39)*100</f>
        <v>40</v>
      </c>
      <c r="F45" s="105">
        <f t="shared" ref="F45:H45" si="27">(F40/F39)*100</f>
        <v>75.472720542615875</v>
      </c>
      <c r="G45" s="105">
        <f t="shared" si="27"/>
        <v>63.753636048161596</v>
      </c>
      <c r="H45" s="104">
        <f t="shared" si="27"/>
        <v>0</v>
      </c>
      <c r="I45" s="104"/>
      <c r="J45" s="104"/>
      <c r="K45" s="121">
        <f t="shared" ref="K45" si="28">(K40/K39)*100</f>
        <v>27.299341712549435</v>
      </c>
    </row>
    <row r="46" spans="1:11" ht="15.6" thickBot="1">
      <c r="A46" s="44" t="s">
        <v>25</v>
      </c>
      <c r="B46" s="107"/>
      <c r="C46" s="108"/>
      <c r="D46" s="108"/>
      <c r="E46" s="109">
        <f>SQRT(EXP((STDEV(LN(E34),LN(E35),LN(E36),LN(E37)))^2)-1)*100</f>
        <v>35.724578619223358</v>
      </c>
      <c r="F46" s="109">
        <f t="shared" ref="F46:H46" si="29">SQRT(EXP((STDEV(LN(F34),LN(F35),LN(F36),LN(F37)))^2)-1)*100</f>
        <v>105.21579563161878</v>
      </c>
      <c r="G46" s="109">
        <f t="shared" si="29"/>
        <v>107.89049191265296</v>
      </c>
      <c r="H46" s="70">
        <f t="shared" si="29"/>
        <v>0</v>
      </c>
      <c r="I46" s="70"/>
      <c r="J46" s="70"/>
      <c r="K46" s="122">
        <f>SQRT(EXP((STDEV(LN(K34),LN(K35),LN(K37)))^2)-1)*100</f>
        <v>29.564467220790412</v>
      </c>
    </row>
    <row r="47" spans="1:11" ht="15.6" thickBot="1">
      <c r="C47" s="111"/>
      <c r="D47" s="111"/>
      <c r="E47" s="112"/>
      <c r="F47" s="112"/>
      <c r="G47" s="112"/>
      <c r="H47" s="112"/>
      <c r="I47" s="112"/>
      <c r="J47" s="112"/>
    </row>
    <row r="48" spans="1:11" ht="17.45" thickBot="1">
      <c r="A48" s="2" t="s">
        <v>1</v>
      </c>
      <c r="B48" s="3" t="s">
        <v>2</v>
      </c>
      <c r="C48" s="3" t="s">
        <v>3</v>
      </c>
      <c r="D48" s="3" t="s">
        <v>4</v>
      </c>
      <c r="E48" s="85" t="s">
        <v>5</v>
      </c>
      <c r="F48" s="85" t="s">
        <v>6</v>
      </c>
      <c r="G48" s="85" t="s">
        <v>7</v>
      </c>
      <c r="H48" s="85" t="s">
        <v>8</v>
      </c>
      <c r="I48" s="85" t="s">
        <v>10</v>
      </c>
      <c r="J48" s="85" t="s">
        <v>11</v>
      </c>
      <c r="K48" s="113" t="s">
        <v>12</v>
      </c>
    </row>
    <row r="49" spans="1:11">
      <c r="A49" s="87" t="s">
        <v>27</v>
      </c>
      <c r="B49" s="88">
        <v>5</v>
      </c>
      <c r="C49" s="88">
        <f>[3]WNL_results!D12</f>
        <v>5</v>
      </c>
      <c r="D49" s="88">
        <v>600</v>
      </c>
      <c r="E49" s="89">
        <f>[3]WNL_results!F12</f>
        <v>1</v>
      </c>
      <c r="F49" s="90">
        <f>[3]WNL_results!G12</f>
        <v>218.94</v>
      </c>
      <c r="G49" s="90">
        <f>[3]WNL_results!H12</f>
        <v>499.03250000000003</v>
      </c>
      <c r="H49" s="89">
        <f>[3]WNL_results!I12</f>
        <v>4</v>
      </c>
      <c r="I49" s="89">
        <f>G49/G34</f>
        <v>0.87588361511020241</v>
      </c>
      <c r="J49" s="89">
        <f>F49/F34</f>
        <v>0.91591365461847396</v>
      </c>
      <c r="K49" s="119">
        <f>G49/'[2]PK parameter_nominal (3)'!$G$49</f>
        <v>0.1128413071780148</v>
      </c>
    </row>
    <row r="50" spans="1:11">
      <c r="A50" s="65" t="s">
        <v>28</v>
      </c>
      <c r="B50" s="20">
        <v>5</v>
      </c>
      <c r="C50" s="20">
        <f>[3]WNL_results!D14</f>
        <v>5</v>
      </c>
      <c r="D50" s="20">
        <v>600</v>
      </c>
      <c r="E50" s="61">
        <f>[3]WNL_results!F14</f>
        <v>1</v>
      </c>
      <c r="F50" s="66">
        <f>[3]WNL_results!G14</f>
        <v>190.27</v>
      </c>
      <c r="G50" s="66">
        <f>[3]WNL_results!H14</f>
        <v>380.685</v>
      </c>
      <c r="H50" s="61">
        <f>[3]WNL_results!I14</f>
        <v>4</v>
      </c>
      <c r="I50" s="61">
        <f>G50/G35</f>
        <v>0.29946370521289545</v>
      </c>
      <c r="J50" s="61">
        <f>F50/F35</f>
        <v>0.20752576757375799</v>
      </c>
      <c r="K50" s="116">
        <f>G50/'[2]PK parameter_nominal (3)'!$G$50</f>
        <v>5.4819267132416E-2</v>
      </c>
    </row>
    <row r="51" spans="1:11">
      <c r="A51" s="65" t="s">
        <v>29</v>
      </c>
      <c r="B51" s="20">
        <v>5</v>
      </c>
      <c r="C51" s="20">
        <f>[3]WNL_results!D16</f>
        <v>5</v>
      </c>
      <c r="D51" s="20">
        <v>600</v>
      </c>
      <c r="E51" s="61">
        <f>[3]WNL_results!F16</f>
        <v>4</v>
      </c>
      <c r="F51" s="66">
        <f>[3]WNL_results!G16</f>
        <v>713.11</v>
      </c>
      <c r="G51" s="66">
        <f>[3]WNL_results!H16</f>
        <v>1629.7550000000001</v>
      </c>
      <c r="H51" s="61">
        <f>[3]WNL_results!I16</f>
        <v>4</v>
      </c>
      <c r="I51" s="92">
        <f>G51/G36</f>
        <v>8.6414454062222461</v>
      </c>
      <c r="J51" s="92">
        <f>F51/F36</f>
        <v>5.2369097451714772</v>
      </c>
      <c r="K51" s="57">
        <f>G51/'[2]PK parameter_nominal (3)'!$G$51</f>
        <v>0.68985579634765926</v>
      </c>
    </row>
    <row r="52" spans="1:11" ht="15.6" thickBot="1">
      <c r="A52" s="68" t="s">
        <v>30</v>
      </c>
      <c r="B52" s="69">
        <v>5</v>
      </c>
      <c r="C52" s="69">
        <f>[3]WNL_results!D18</f>
        <v>5</v>
      </c>
      <c r="D52" s="69">
        <v>600</v>
      </c>
      <c r="E52" s="70">
        <f>[3]WNL_results!F18</f>
        <v>1</v>
      </c>
      <c r="F52" s="71">
        <f>[3]WNL_results!G18</f>
        <v>358.82</v>
      </c>
      <c r="G52" s="71">
        <f>[3]WNL_results!H18</f>
        <v>850.42250000000001</v>
      </c>
      <c r="H52" s="70">
        <f>[3]WNL_results!I18</f>
        <v>4</v>
      </c>
      <c r="I52" s="70">
        <f>G52/G37</f>
        <v>0.74187019795912579</v>
      </c>
      <c r="J52" s="70">
        <f>F52/F37</f>
        <v>0.6046746768675958</v>
      </c>
      <c r="K52" s="120">
        <f>G52/'[2]PK parameter_nominal (3)'!$G$52</f>
        <v>0.18596569106873323</v>
      </c>
    </row>
    <row r="53" spans="1:11">
      <c r="A53" s="27" t="s">
        <v>17</v>
      </c>
      <c r="B53" s="96"/>
      <c r="C53" s="97"/>
      <c r="D53" s="97"/>
      <c r="E53" s="90">
        <f>COUNT(E49:E52)</f>
        <v>4</v>
      </c>
      <c r="F53" s="90">
        <f>COUNT(F49:F52)</f>
        <v>4</v>
      </c>
      <c r="G53" s="90">
        <f t="shared" ref="G53:H53" si="30">COUNT(G49:G52)</f>
        <v>4</v>
      </c>
      <c r="H53" s="90">
        <f t="shared" si="30"/>
        <v>4</v>
      </c>
      <c r="I53" s="90">
        <f>COUNT(I49:I50,I52)</f>
        <v>3</v>
      </c>
      <c r="J53" s="90">
        <f>COUNT(J49:J50,J52)</f>
        <v>3</v>
      </c>
      <c r="K53" s="118">
        <f t="shared" ref="K53" si="31">COUNT(K49:K52)</f>
        <v>4</v>
      </c>
    </row>
    <row r="54" spans="1:11">
      <c r="A54" s="32" t="s">
        <v>18</v>
      </c>
      <c r="B54" s="99"/>
      <c r="C54" s="100"/>
      <c r="D54" s="100"/>
      <c r="E54" s="61">
        <f>AVERAGE(E49:E52)</f>
        <v>1.75</v>
      </c>
      <c r="F54" s="66">
        <f t="shared" ref="F54:H54" si="32">AVERAGE(F49:F52)</f>
        <v>370.28500000000003</v>
      </c>
      <c r="G54" s="66">
        <f t="shared" si="32"/>
        <v>839.97375</v>
      </c>
      <c r="H54" s="61">
        <f t="shared" si="32"/>
        <v>4</v>
      </c>
      <c r="I54" s="61">
        <f>AVERAGE(I49:I50,I52)</f>
        <v>0.63907250609407451</v>
      </c>
      <c r="J54" s="61">
        <f>AVERAGE(J49:J50,J52)</f>
        <v>0.5760380330199425</v>
      </c>
      <c r="K54" s="116">
        <f t="shared" ref="K54" si="33">AVERAGE(K49:K52)</f>
        <v>0.26087051543170581</v>
      </c>
    </row>
    <row r="55" spans="1:11">
      <c r="A55" s="32" t="s">
        <v>19</v>
      </c>
      <c r="B55" s="99"/>
      <c r="C55" s="100"/>
      <c r="D55" s="100"/>
      <c r="E55" s="61">
        <f>STDEV(E49:E52)</f>
        <v>1.5</v>
      </c>
      <c r="F55" s="66">
        <f t="shared" ref="F55:H55" si="34">STDEV(F49:F52)</f>
        <v>240.11881510341223</v>
      </c>
      <c r="G55" s="66">
        <f t="shared" si="34"/>
        <v>563.04253571000299</v>
      </c>
      <c r="H55" s="61">
        <f t="shared" si="34"/>
        <v>0</v>
      </c>
      <c r="I55" s="61">
        <f>STDEV(I49:I50,I52)</f>
        <v>0.30164631975393202</v>
      </c>
      <c r="J55" s="61">
        <f>STDEV(J49:J50,J52)</f>
        <v>0.35506111115702665</v>
      </c>
      <c r="K55" s="116">
        <f t="shared" ref="K55" si="35">STDEV(K49:K52)</f>
        <v>0.29098045030396658</v>
      </c>
    </row>
    <row r="56" spans="1:11">
      <c r="A56" s="32" t="s">
        <v>20</v>
      </c>
      <c r="B56" s="99"/>
      <c r="C56" s="100"/>
      <c r="D56" s="100"/>
      <c r="E56" s="61">
        <f>MIN(E49:E52)</f>
        <v>1</v>
      </c>
      <c r="F56" s="66">
        <f t="shared" ref="F56:H56" si="36">MIN(F49:F52)</f>
        <v>190.27</v>
      </c>
      <c r="G56" s="66">
        <f t="shared" si="36"/>
        <v>380.685</v>
      </c>
      <c r="H56" s="61">
        <f t="shared" si="36"/>
        <v>4</v>
      </c>
      <c r="I56" s="61">
        <f>MIN(I49:I50,I52)</f>
        <v>0.29946370521289545</v>
      </c>
      <c r="J56" s="61">
        <f>MIN(J49:J50,J52)</f>
        <v>0.20752576757375799</v>
      </c>
      <c r="K56" s="116">
        <f t="shared" ref="K56" si="37">MIN(K49:K52)</f>
        <v>5.4819267132416E-2</v>
      </c>
    </row>
    <row r="57" spans="1:11">
      <c r="A57" s="32" t="s">
        <v>21</v>
      </c>
      <c r="B57" s="99"/>
      <c r="C57" s="100"/>
      <c r="D57" s="100"/>
      <c r="E57" s="61">
        <f>MEDIAN(E49:E52)</f>
        <v>1</v>
      </c>
      <c r="F57" s="66">
        <f t="shared" ref="F57:H57" si="38">MEDIAN(F49:F52)</f>
        <v>288.88</v>
      </c>
      <c r="G57" s="66">
        <f t="shared" si="38"/>
        <v>674.72749999999996</v>
      </c>
      <c r="H57" s="61">
        <f t="shared" si="38"/>
        <v>4</v>
      </c>
      <c r="I57" s="61">
        <f>MEDIAN(I49:I50,I52)</f>
        <v>0.74187019795912579</v>
      </c>
      <c r="J57" s="61">
        <f>MEDIAN(J49:J50,J52)</f>
        <v>0.6046746768675958</v>
      </c>
      <c r="K57" s="116">
        <f t="shared" ref="K57" si="39">MEDIAN(K49:K52)</f>
        <v>0.14940349912337403</v>
      </c>
    </row>
    <row r="58" spans="1:11">
      <c r="A58" s="32" t="s">
        <v>22</v>
      </c>
      <c r="B58" s="99"/>
      <c r="C58" s="100"/>
      <c r="D58" s="100"/>
      <c r="E58" s="61">
        <f>MAX(E49:E52)</f>
        <v>4</v>
      </c>
      <c r="F58" s="66">
        <f t="shared" ref="F58:H58" si="40">MAX(F49:F52)</f>
        <v>713.11</v>
      </c>
      <c r="G58" s="66">
        <f t="shared" si="40"/>
        <v>1629.7550000000001</v>
      </c>
      <c r="H58" s="61">
        <f t="shared" si="40"/>
        <v>4</v>
      </c>
      <c r="I58" s="61">
        <f>MAX(I49:I50,I52)</f>
        <v>0.87588361511020241</v>
      </c>
      <c r="J58" s="61">
        <f>MAX(J49:J50,J52)</f>
        <v>0.91591365461847396</v>
      </c>
      <c r="K58" s="116">
        <f t="shared" ref="K58" si="41">MAX(K49:K52)</f>
        <v>0.68985579634765926</v>
      </c>
    </row>
    <row r="59" spans="1:11">
      <c r="A59" s="32" t="s">
        <v>23</v>
      </c>
      <c r="B59" s="99"/>
      <c r="C59" s="100"/>
      <c r="D59" s="100"/>
      <c r="E59" s="61">
        <f>GEOMEAN(E49:E52)</f>
        <v>1.4142135623730949</v>
      </c>
      <c r="F59" s="66">
        <f t="shared" ref="F59:H59" si="42">GEOMEAN(F49:F52)</f>
        <v>321.31585071817256</v>
      </c>
      <c r="G59" s="66">
        <f t="shared" si="42"/>
        <v>716.32962883810819</v>
      </c>
      <c r="H59" s="61">
        <f t="shared" si="42"/>
        <v>4</v>
      </c>
      <c r="I59" s="61">
        <f>GEOMEAN(I49:I50,I52)</f>
        <v>0.57948140847413088</v>
      </c>
      <c r="J59" s="61">
        <f>GEOMEAN(J49:J50,J52)</f>
        <v>0.48620129869490614</v>
      </c>
      <c r="K59" s="116">
        <f t="shared" ref="K59" si="43">GEOMEAN(K49:K52)</f>
        <v>0.16784102378604959</v>
      </c>
    </row>
    <row r="60" spans="1:11">
      <c r="A60" s="36" t="s">
        <v>24</v>
      </c>
      <c r="B60" s="102"/>
      <c r="C60" s="103"/>
      <c r="D60" s="103"/>
      <c r="E60" s="105">
        <f>(E55/E54)*100</f>
        <v>85.714285714285708</v>
      </c>
      <c r="F60" s="105">
        <f t="shared" ref="F60:H60" si="44">(F55/F54)*100</f>
        <v>64.84702731771803</v>
      </c>
      <c r="G60" s="105">
        <f t="shared" si="44"/>
        <v>67.030968016560394</v>
      </c>
      <c r="H60" s="104">
        <f t="shared" si="44"/>
        <v>0</v>
      </c>
      <c r="I60" s="105">
        <f>(I55/I54)*100</f>
        <v>47.200641066152869</v>
      </c>
      <c r="J60" s="105">
        <f>(J55/J54)*100</f>
        <v>61.638484059043783</v>
      </c>
      <c r="K60" s="121">
        <f t="shared" ref="K60" si="45">(K55/K54)*100</f>
        <v>111.54209965907143</v>
      </c>
    </row>
    <row r="61" spans="1:11" ht="15.6" thickBot="1">
      <c r="A61" s="44" t="s">
        <v>25</v>
      </c>
      <c r="B61" s="107"/>
      <c r="C61" s="108"/>
      <c r="D61" s="108"/>
      <c r="E61" s="109">
        <f>SQRT(EXP((STDEV(LN(E49),LN(E50),LN(E51),LN(E52)))^2)-1)*100</f>
        <v>78.537040448547231</v>
      </c>
      <c r="F61" s="109">
        <f t="shared" ref="F61:H61" si="46">SQRT(EXP((STDEV(LN(F49),LN(F50),LN(F51),LN(F52)))^2)-1)*100</f>
        <v>65.444749689721874</v>
      </c>
      <c r="G61" s="109">
        <f t="shared" si="46"/>
        <v>71.384996547961293</v>
      </c>
      <c r="H61" s="70">
        <f t="shared" si="46"/>
        <v>0</v>
      </c>
      <c r="I61" s="109">
        <f>SQRT(EXP((STDEV(LN(I49),LN(I50),LN(I52)))^2)-1)*100</f>
        <v>62.942046200205858</v>
      </c>
      <c r="J61" s="109">
        <f>SQRT(EXP((STDEV(LN(J49),LN(J50),LN(J52)))^2)-1)*100</f>
        <v>89.335774179244581</v>
      </c>
      <c r="K61" s="120">
        <f t="shared" ref="K61" si="47">SQRT(EXP((STDEV(LN(K49),LN(K50),LN(K51),LN(K52)))^2)-1)*100</f>
        <v>145.76807073122879</v>
      </c>
    </row>
    <row r="62" spans="1:11">
      <c r="A62" s="50"/>
      <c r="C62" s="111"/>
      <c r="D62" s="111"/>
      <c r="E62" s="123"/>
      <c r="F62" s="123"/>
      <c r="G62" s="123"/>
      <c r="H62" s="112"/>
      <c r="I62" s="112"/>
      <c r="J62" s="112"/>
    </row>
    <row r="63" spans="1:11" ht="15.6" thickBot="1">
      <c r="A63" s="1" t="s">
        <v>31</v>
      </c>
      <c r="C63" s="111"/>
      <c r="D63" s="111"/>
      <c r="E63" s="123"/>
      <c r="F63" s="123"/>
      <c r="G63" s="123"/>
      <c r="H63" s="112"/>
      <c r="I63" s="112"/>
      <c r="J63" s="112"/>
    </row>
    <row r="64" spans="1:11" ht="17.45" thickBot="1">
      <c r="A64" s="2" t="s">
        <v>1</v>
      </c>
      <c r="B64" s="3" t="s">
        <v>2</v>
      </c>
      <c r="C64" s="3" t="s">
        <v>3</v>
      </c>
      <c r="D64" s="3" t="s">
        <v>4</v>
      </c>
      <c r="E64" s="85" t="s">
        <v>5</v>
      </c>
      <c r="F64" s="85" t="s">
        <v>6</v>
      </c>
      <c r="G64" s="85" t="s">
        <v>7</v>
      </c>
      <c r="H64" s="85" t="s">
        <v>8</v>
      </c>
      <c r="I64" s="85" t="s">
        <v>10</v>
      </c>
      <c r="J64" s="85" t="s">
        <v>11</v>
      </c>
      <c r="K64" s="113" t="s">
        <v>12</v>
      </c>
    </row>
    <row r="65" spans="1:11">
      <c r="A65" s="87" t="s">
        <v>32</v>
      </c>
      <c r="B65" s="88">
        <v>1</v>
      </c>
      <c r="C65" s="88">
        <f>[3]WNL_results!D19</f>
        <v>5</v>
      </c>
      <c r="D65" s="88">
        <v>800</v>
      </c>
      <c r="E65" s="89">
        <f>[3]WNL_results!F19</f>
        <v>1</v>
      </c>
      <c r="F65" s="90">
        <f>[3]WNL_results!G19</f>
        <v>1841.18</v>
      </c>
      <c r="G65" s="90">
        <f>[3]WNL_results!H19</f>
        <v>3854.79</v>
      </c>
      <c r="H65" s="89">
        <f>[3]WNL_results!I19</f>
        <v>4</v>
      </c>
      <c r="I65" s="89"/>
      <c r="J65" s="89"/>
      <c r="K65" s="119">
        <f>G65/'[2]PK parameter_nominal (3)'!$G$65</f>
        <v>0.36328723590736284</v>
      </c>
    </row>
    <row r="66" spans="1:11">
      <c r="A66" s="65" t="s">
        <v>33</v>
      </c>
      <c r="B66" s="20">
        <v>1</v>
      </c>
      <c r="C66" s="20">
        <f>[3]WNL_results!D20</f>
        <v>5</v>
      </c>
      <c r="D66" s="20">
        <v>800</v>
      </c>
      <c r="E66" s="61">
        <f>[3]WNL_results!F20</f>
        <v>2</v>
      </c>
      <c r="F66" s="66">
        <f>[3]WNL_results!G20</f>
        <v>706.38</v>
      </c>
      <c r="G66" s="66">
        <f>[3]WNL_results!H20</f>
        <v>1802.0975000000001</v>
      </c>
      <c r="H66" s="61">
        <f>[3]WNL_results!I20</f>
        <v>4</v>
      </c>
      <c r="I66" s="61"/>
      <c r="J66" s="61"/>
      <c r="K66" s="116">
        <f>G66/'[2]PK parameter_nominal (3)'!$G$66</f>
        <v>0.20722905074508441</v>
      </c>
    </row>
    <row r="67" spans="1:11">
      <c r="A67" s="65" t="s">
        <v>34</v>
      </c>
      <c r="B67" s="20">
        <v>1</v>
      </c>
      <c r="C67" s="20">
        <f>[3]WNL_results!D22</f>
        <v>5</v>
      </c>
      <c r="D67" s="20">
        <v>800</v>
      </c>
      <c r="E67" s="61">
        <f>[3]WNL_results!F22</f>
        <v>1</v>
      </c>
      <c r="F67" s="66">
        <f>[3]WNL_results!G22</f>
        <v>885.44</v>
      </c>
      <c r="G67" s="66">
        <f>[3]WNL_results!H22</f>
        <v>1114.575</v>
      </c>
      <c r="H67" s="61">
        <f>[3]WNL_results!I22</f>
        <v>4</v>
      </c>
      <c r="I67" s="61"/>
      <c r="J67" s="61"/>
      <c r="K67" s="116">
        <f>G67/'[2]PK parameter_nominal (3)'!$G$67</f>
        <v>0.22788948563723233</v>
      </c>
    </row>
    <row r="68" spans="1:11" ht="15.6" thickBot="1">
      <c r="A68" s="68" t="s">
        <v>35</v>
      </c>
      <c r="B68" s="69">
        <v>1</v>
      </c>
      <c r="C68" s="69">
        <f>[3]WNL_results!D24</f>
        <v>5</v>
      </c>
      <c r="D68" s="69">
        <v>800</v>
      </c>
      <c r="E68" s="70">
        <f>[3]WNL_results!F24</f>
        <v>2</v>
      </c>
      <c r="F68" s="71">
        <f>[3]WNL_results!G24</f>
        <v>1163.49</v>
      </c>
      <c r="G68" s="71">
        <f>[3]WNL_results!H24</f>
        <v>2834.4324999999999</v>
      </c>
      <c r="H68" s="70">
        <f>[3]WNL_results!I24</f>
        <v>4</v>
      </c>
      <c r="I68" s="70"/>
      <c r="J68" s="70"/>
      <c r="K68" s="120">
        <f>G68/'[2]PK parameter_nominal (3)'!$G$68</f>
        <v>0.28467632550392025</v>
      </c>
    </row>
    <row r="69" spans="1:11">
      <c r="A69" s="27" t="s">
        <v>17</v>
      </c>
      <c r="B69" s="96"/>
      <c r="C69" s="97"/>
      <c r="D69" s="97"/>
      <c r="E69" s="90">
        <f>COUNT(E65:E68)</f>
        <v>4</v>
      </c>
      <c r="F69" s="90">
        <f>COUNT(F65:F68)</f>
        <v>4</v>
      </c>
      <c r="G69" s="90">
        <f t="shared" ref="G69:K69" si="48">COUNT(G65:G68)</f>
        <v>4</v>
      </c>
      <c r="H69" s="90">
        <f t="shared" si="48"/>
        <v>4</v>
      </c>
      <c r="I69" s="90">
        <f t="shared" si="48"/>
        <v>0</v>
      </c>
      <c r="J69" s="90">
        <f t="shared" si="48"/>
        <v>0</v>
      </c>
      <c r="K69" s="118">
        <f t="shared" si="48"/>
        <v>4</v>
      </c>
    </row>
    <row r="70" spans="1:11">
      <c r="A70" s="32" t="s">
        <v>18</v>
      </c>
      <c r="B70" s="99"/>
      <c r="C70" s="100"/>
      <c r="D70" s="100"/>
      <c r="E70" s="61">
        <f>AVERAGE(E65:E68)</f>
        <v>1.5</v>
      </c>
      <c r="F70" s="66">
        <f t="shared" ref="F70:H70" si="49">AVERAGE(F65:F68)</f>
        <v>1149.1224999999999</v>
      </c>
      <c r="G70" s="66">
        <f t="shared" si="49"/>
        <v>2401.4737500000001</v>
      </c>
      <c r="H70" s="61">
        <f t="shared" si="49"/>
        <v>4</v>
      </c>
      <c r="I70" s="61"/>
      <c r="J70" s="61"/>
      <c r="K70" s="116">
        <f t="shared" ref="K70" si="50">AVERAGE(K65:K68)</f>
        <v>0.27077052444839994</v>
      </c>
    </row>
    <row r="71" spans="1:11">
      <c r="A71" s="32" t="s">
        <v>19</v>
      </c>
      <c r="B71" s="99"/>
      <c r="C71" s="100"/>
      <c r="D71" s="100"/>
      <c r="E71" s="61">
        <f>STDEV(E65:E68)</f>
        <v>0.57735026918962573</v>
      </c>
      <c r="F71" s="66">
        <f t="shared" ref="F71:H71" si="51">STDEV(F65:F68)</f>
        <v>498.22999724859375</v>
      </c>
      <c r="G71" s="66">
        <f t="shared" si="51"/>
        <v>1199.2972502721811</v>
      </c>
      <c r="H71" s="61">
        <f t="shared" si="51"/>
        <v>0</v>
      </c>
      <c r="I71" s="61"/>
      <c r="J71" s="61"/>
      <c r="K71" s="116">
        <f t="shared" ref="K71" si="52">STDEV(K65:K68)</f>
        <v>6.9830784930646761E-2</v>
      </c>
    </row>
    <row r="72" spans="1:11">
      <c r="A72" s="32" t="s">
        <v>20</v>
      </c>
      <c r="B72" s="99"/>
      <c r="C72" s="100"/>
      <c r="D72" s="100"/>
      <c r="E72" s="61">
        <f>MIN(E65:E68)</f>
        <v>1</v>
      </c>
      <c r="F72" s="66">
        <f t="shared" ref="F72:H72" si="53">MIN(F65:F68)</f>
        <v>706.38</v>
      </c>
      <c r="G72" s="66">
        <f t="shared" si="53"/>
        <v>1114.575</v>
      </c>
      <c r="H72" s="61">
        <f t="shared" si="53"/>
        <v>4</v>
      </c>
      <c r="I72" s="61"/>
      <c r="J72" s="61"/>
      <c r="K72" s="116">
        <f t="shared" ref="K72" si="54">MIN(K65:K68)</f>
        <v>0.20722905074508441</v>
      </c>
    </row>
    <row r="73" spans="1:11">
      <c r="A73" s="32" t="s">
        <v>21</v>
      </c>
      <c r="B73" s="99"/>
      <c r="C73" s="100"/>
      <c r="D73" s="100"/>
      <c r="E73" s="61">
        <f>MEDIAN(E65:E68)</f>
        <v>1.5</v>
      </c>
      <c r="F73" s="66">
        <f t="shared" ref="F73:H73" si="55">MEDIAN(F65:F68)</f>
        <v>1024.4650000000001</v>
      </c>
      <c r="G73" s="66">
        <f t="shared" si="55"/>
        <v>2318.2649999999999</v>
      </c>
      <c r="H73" s="61">
        <f t="shared" si="55"/>
        <v>4</v>
      </c>
      <c r="I73" s="61"/>
      <c r="J73" s="61"/>
      <c r="K73" s="116">
        <f t="shared" ref="K73" si="56">MEDIAN(K65:K68)</f>
        <v>0.25628290557057631</v>
      </c>
    </row>
    <row r="74" spans="1:11">
      <c r="A74" s="32" t="s">
        <v>22</v>
      </c>
      <c r="B74" s="99"/>
      <c r="C74" s="100"/>
      <c r="D74" s="100"/>
      <c r="E74" s="61">
        <f>MAX(E65:E68)</f>
        <v>2</v>
      </c>
      <c r="F74" s="66">
        <f t="shared" ref="F74:H74" si="57">MAX(F65:F68)</f>
        <v>1841.18</v>
      </c>
      <c r="G74" s="66">
        <f t="shared" si="57"/>
        <v>3854.79</v>
      </c>
      <c r="H74" s="61">
        <f t="shared" si="57"/>
        <v>4</v>
      </c>
      <c r="I74" s="61"/>
      <c r="J74" s="61"/>
      <c r="K74" s="116">
        <f t="shared" ref="K74" si="58">MAX(K65:K68)</f>
        <v>0.36328723590736284</v>
      </c>
    </row>
    <row r="75" spans="1:11">
      <c r="A75" s="32" t="s">
        <v>23</v>
      </c>
      <c r="B75" s="99"/>
      <c r="C75" s="100"/>
      <c r="D75" s="100"/>
      <c r="E75" s="61">
        <f>GEOMEAN(E65:E68)</f>
        <v>1.4142135623730949</v>
      </c>
      <c r="F75" s="66">
        <f t="shared" ref="F75:H75" si="59">GEOMEAN(F65:F68)</f>
        <v>1075.8806802018148</v>
      </c>
      <c r="G75" s="66">
        <f t="shared" si="59"/>
        <v>2164.4053866863051</v>
      </c>
      <c r="H75" s="61">
        <f t="shared" si="59"/>
        <v>4</v>
      </c>
      <c r="I75" s="61"/>
      <c r="J75" s="61"/>
      <c r="K75" s="116">
        <f t="shared" ref="K75" si="60">GEOMEAN(K65:K68)</f>
        <v>0.26435900227526232</v>
      </c>
    </row>
    <row r="76" spans="1:11">
      <c r="A76" s="36" t="s">
        <v>24</v>
      </c>
      <c r="B76" s="102"/>
      <c r="C76" s="103"/>
      <c r="D76" s="103"/>
      <c r="E76" s="105">
        <f>(E71/E70)*100</f>
        <v>38.490017945975048</v>
      </c>
      <c r="F76" s="105">
        <f t="shared" ref="F76:H76" si="61">(F71/F70)*100</f>
        <v>43.357431191939391</v>
      </c>
      <c r="G76" s="105">
        <f t="shared" si="61"/>
        <v>49.940052447884597</v>
      </c>
      <c r="H76" s="104">
        <f t="shared" si="61"/>
        <v>0</v>
      </c>
      <c r="I76" s="104"/>
      <c r="J76" s="104"/>
      <c r="K76" s="121">
        <f t="shared" ref="K76" si="62">(K71/K70)*100</f>
        <v>25.78965530790418</v>
      </c>
    </row>
    <row r="77" spans="1:11" ht="15.6" thickBot="1">
      <c r="A77" s="44" t="s">
        <v>25</v>
      </c>
      <c r="B77" s="107"/>
      <c r="C77" s="108"/>
      <c r="D77" s="108"/>
      <c r="E77" s="109">
        <f>SQRT(EXP((STDEV(LN(E65),LN(E66),LN(E67),LN(E68)))^2)-1)*100</f>
        <v>41.675903104530711</v>
      </c>
      <c r="F77" s="109">
        <f t="shared" ref="F77:H77" si="63">SQRT(EXP((STDEV(LN(F65),LN(F66),LN(F67),LN(F68)))^2)-1)*100</f>
        <v>43.03598092368518</v>
      </c>
      <c r="G77" s="109">
        <f t="shared" si="63"/>
        <v>58.381301271415033</v>
      </c>
      <c r="H77" s="70">
        <f t="shared" si="63"/>
        <v>0</v>
      </c>
      <c r="I77" s="70"/>
      <c r="J77" s="70"/>
      <c r="K77" s="120">
        <f t="shared" ref="K77" si="64">SQRT(EXP((STDEV(LN(K65),LN(K66),LN(K67),LN(K68)))^2)-1)*100</f>
        <v>25.420528692595706</v>
      </c>
    </row>
    <row r="78" spans="1:11" ht="15.6" thickBot="1"/>
    <row r="79" spans="1:11" ht="17.45" thickBot="1">
      <c r="A79" s="2" t="s">
        <v>1</v>
      </c>
      <c r="B79" s="3" t="s">
        <v>2</v>
      </c>
      <c r="C79" s="3" t="s">
        <v>3</v>
      </c>
      <c r="D79" s="3" t="s">
        <v>4</v>
      </c>
      <c r="E79" s="85" t="s">
        <v>5</v>
      </c>
      <c r="F79" s="85" t="s">
        <v>6</v>
      </c>
      <c r="G79" s="85" t="s">
        <v>7</v>
      </c>
      <c r="H79" s="85" t="s">
        <v>8</v>
      </c>
      <c r="I79" s="85" t="s">
        <v>10</v>
      </c>
      <c r="J79" s="85" t="s">
        <v>11</v>
      </c>
      <c r="K79" s="113" t="s">
        <v>12</v>
      </c>
    </row>
    <row r="80" spans="1:11">
      <c r="A80" s="87" t="s">
        <v>32</v>
      </c>
      <c r="B80" s="88"/>
      <c r="C80" s="88"/>
      <c r="D80" s="88"/>
      <c r="E80" s="89"/>
      <c r="F80" s="90"/>
      <c r="G80" s="90"/>
      <c r="H80" s="89"/>
      <c r="I80" s="89"/>
      <c r="J80" s="89"/>
      <c r="K80" s="124"/>
    </row>
    <row r="81" spans="1:11">
      <c r="A81" s="65" t="s">
        <v>33</v>
      </c>
      <c r="B81" s="20">
        <v>5</v>
      </c>
      <c r="C81" s="20">
        <f>[3]WNL_results!D21</f>
        <v>5</v>
      </c>
      <c r="D81" s="20">
        <v>800</v>
      </c>
      <c r="E81" s="61">
        <f>[3]WNL_results!F21</f>
        <v>2</v>
      </c>
      <c r="F81" s="66">
        <f>[3]WNL_results!G21</f>
        <v>528.30999999999995</v>
      </c>
      <c r="G81" s="66">
        <f>[3]WNL_results!H21</f>
        <v>1261.7025000000001</v>
      </c>
      <c r="H81" s="61">
        <f>[3]WNL_results!I21</f>
        <v>4</v>
      </c>
      <c r="I81" s="61">
        <f>G81/G66</f>
        <v>0.70012998741743993</v>
      </c>
      <c r="J81" s="61">
        <f>F81/F66</f>
        <v>0.74791188878507309</v>
      </c>
      <c r="K81" s="116">
        <f>G81/'[2]PK parameter_nominal (3)'!$G$81</f>
        <v>0.15013837823622564</v>
      </c>
    </row>
    <row r="82" spans="1:11">
      <c r="A82" s="65" t="s">
        <v>34</v>
      </c>
      <c r="B82" s="20">
        <v>5</v>
      </c>
      <c r="C82" s="20">
        <f>[3]WNL_results!D23</f>
        <v>5</v>
      </c>
      <c r="D82" s="20">
        <v>800</v>
      </c>
      <c r="E82" s="61">
        <f>[3]WNL_results!F23</f>
        <v>4</v>
      </c>
      <c r="F82" s="66">
        <f>[3]WNL_results!G23</f>
        <v>405.26</v>
      </c>
      <c r="G82" s="66">
        <f>[3]WNL_results!H23</f>
        <v>949.44749999999999</v>
      </c>
      <c r="H82" s="61">
        <f>[3]WNL_results!I23</f>
        <v>4</v>
      </c>
      <c r="I82" s="61">
        <f>G82/G67</f>
        <v>0.85184711661395596</v>
      </c>
      <c r="J82" s="61">
        <f>F82/F67</f>
        <v>0.45769335019877122</v>
      </c>
      <c r="K82" s="116">
        <f>G82/'[2]PK parameter_nominal (3)'!$G$82</f>
        <v>0.17262877987249856</v>
      </c>
    </row>
    <row r="83" spans="1:11" ht="15.6" thickBot="1">
      <c r="A83" s="68" t="s">
        <v>35</v>
      </c>
      <c r="B83" s="69">
        <v>5</v>
      </c>
      <c r="C83" s="69">
        <f>[3]WNL_results!D25</f>
        <v>5</v>
      </c>
      <c r="D83" s="69">
        <v>800</v>
      </c>
      <c r="E83" s="70">
        <f>[3]WNL_results!F25</f>
        <v>2</v>
      </c>
      <c r="F83" s="71">
        <f>[3]WNL_results!G25</f>
        <v>1878.57</v>
      </c>
      <c r="G83" s="71">
        <f>[3]WNL_results!H25</f>
        <v>3490.84</v>
      </c>
      <c r="H83" s="70">
        <f>[3]WNL_results!I25</f>
        <v>4</v>
      </c>
      <c r="I83" s="125">
        <f>G83/G68</f>
        <v>1.2315833945595813</v>
      </c>
      <c r="J83" s="125">
        <f>F83/F68</f>
        <v>1.6145991800531161</v>
      </c>
      <c r="K83" s="126">
        <f>G83/'[2]PK parameter_nominal (3)'!$G$83</f>
        <v>0.46930142672290659</v>
      </c>
    </row>
    <row r="84" spans="1:11">
      <c r="A84" s="27" t="s">
        <v>17</v>
      </c>
      <c r="B84" s="96"/>
      <c r="C84" s="97"/>
      <c r="D84" s="97"/>
      <c r="E84" s="90">
        <f>COUNT(E80:E83)</f>
        <v>3</v>
      </c>
      <c r="F84" s="90">
        <f t="shared" ref="F84:K84" si="65">COUNT(F80:F83)</f>
        <v>3</v>
      </c>
      <c r="G84" s="90">
        <f t="shared" si="65"/>
        <v>3</v>
      </c>
      <c r="H84" s="90">
        <f t="shared" si="65"/>
        <v>3</v>
      </c>
      <c r="I84" s="90">
        <f t="shared" si="65"/>
        <v>3</v>
      </c>
      <c r="J84" s="90">
        <f t="shared" si="65"/>
        <v>3</v>
      </c>
      <c r="K84" s="118">
        <f t="shared" si="65"/>
        <v>3</v>
      </c>
    </row>
    <row r="85" spans="1:11">
      <c r="A85" s="32" t="s">
        <v>18</v>
      </c>
      <c r="B85" s="99"/>
      <c r="C85" s="100"/>
      <c r="D85" s="100"/>
      <c r="E85" s="61">
        <f>AVERAGE(E80:E83)</f>
        <v>2.6666666666666665</v>
      </c>
      <c r="F85" s="66">
        <f t="shared" ref="F85:K85" si="66">AVERAGE(F80:F83)</f>
        <v>937.38</v>
      </c>
      <c r="G85" s="66">
        <f t="shared" si="66"/>
        <v>1900.6633333333332</v>
      </c>
      <c r="H85" s="61">
        <f t="shared" si="66"/>
        <v>4</v>
      </c>
      <c r="I85" s="61">
        <f t="shared" si="66"/>
        <v>0.9278534995303257</v>
      </c>
      <c r="J85" s="61">
        <f t="shared" si="66"/>
        <v>0.94006813967898673</v>
      </c>
      <c r="K85" s="116">
        <f t="shared" si="66"/>
        <v>0.26402286161054361</v>
      </c>
    </row>
    <row r="86" spans="1:11">
      <c r="A86" s="32" t="s">
        <v>19</v>
      </c>
      <c r="B86" s="99"/>
      <c r="C86" s="100"/>
      <c r="D86" s="100"/>
      <c r="E86" s="61">
        <f>STDEV(E80:E83)</f>
        <v>1.1547005383792517</v>
      </c>
      <c r="F86" s="66">
        <f t="shared" ref="F86:K86" si="67">STDEV(F80:F83)</f>
        <v>817.41316829373386</v>
      </c>
      <c r="G86" s="66">
        <f t="shared" si="67"/>
        <v>1385.9553274419</v>
      </c>
      <c r="H86" s="61">
        <f t="shared" si="67"/>
        <v>0</v>
      </c>
      <c r="I86" s="61">
        <f t="shared" si="67"/>
        <v>0.27375793810183907</v>
      </c>
      <c r="J86" s="61">
        <f t="shared" si="67"/>
        <v>0.60191427409220499</v>
      </c>
      <c r="K86" s="116">
        <f t="shared" si="67"/>
        <v>0.17813175324007566</v>
      </c>
    </row>
    <row r="87" spans="1:11">
      <c r="A87" s="32" t="s">
        <v>20</v>
      </c>
      <c r="B87" s="99"/>
      <c r="C87" s="100"/>
      <c r="D87" s="100"/>
      <c r="E87" s="61">
        <f>MIN(E80:E83)</f>
        <v>2</v>
      </c>
      <c r="F87" s="66">
        <f t="shared" ref="F87:K87" si="68">MIN(F80:F83)</f>
        <v>405.26</v>
      </c>
      <c r="G87" s="66">
        <f t="shared" si="68"/>
        <v>949.44749999999999</v>
      </c>
      <c r="H87" s="61">
        <f t="shared" si="68"/>
        <v>4</v>
      </c>
      <c r="I87" s="61">
        <f t="shared" si="68"/>
        <v>0.70012998741743993</v>
      </c>
      <c r="J87" s="61">
        <f t="shared" si="68"/>
        <v>0.45769335019877122</v>
      </c>
      <c r="K87" s="116">
        <f t="shared" si="68"/>
        <v>0.15013837823622564</v>
      </c>
    </row>
    <row r="88" spans="1:11">
      <c r="A88" s="32" t="s">
        <v>21</v>
      </c>
      <c r="B88" s="99"/>
      <c r="C88" s="100"/>
      <c r="D88" s="100"/>
      <c r="E88" s="61">
        <f>MEDIAN(E80:E83)</f>
        <v>2</v>
      </c>
      <c r="F88" s="66">
        <f t="shared" ref="F88:K88" si="69">MEDIAN(F80:F83)</f>
        <v>528.30999999999995</v>
      </c>
      <c r="G88" s="66">
        <f t="shared" si="69"/>
        <v>1261.7025000000001</v>
      </c>
      <c r="H88" s="61">
        <f t="shared" si="69"/>
        <v>4</v>
      </c>
      <c r="I88" s="61">
        <f t="shared" si="69"/>
        <v>0.85184711661395596</v>
      </c>
      <c r="J88" s="61">
        <f t="shared" si="69"/>
        <v>0.74791188878507309</v>
      </c>
      <c r="K88" s="116">
        <f t="shared" si="69"/>
        <v>0.17262877987249856</v>
      </c>
    </row>
    <row r="89" spans="1:11">
      <c r="A89" s="32" t="s">
        <v>22</v>
      </c>
      <c r="B89" s="99"/>
      <c r="C89" s="100"/>
      <c r="D89" s="100"/>
      <c r="E89" s="61">
        <f>MAX(E80:E83)</f>
        <v>4</v>
      </c>
      <c r="F89" s="66">
        <f t="shared" ref="F89:K89" si="70">MAX(F80:F83)</f>
        <v>1878.57</v>
      </c>
      <c r="G89" s="66">
        <f t="shared" si="70"/>
        <v>3490.84</v>
      </c>
      <c r="H89" s="61">
        <f t="shared" si="70"/>
        <v>4</v>
      </c>
      <c r="I89" s="61">
        <f t="shared" si="70"/>
        <v>1.2315833945595813</v>
      </c>
      <c r="J89" s="61">
        <f t="shared" si="70"/>
        <v>1.6145991800531161</v>
      </c>
      <c r="K89" s="116">
        <f t="shared" si="70"/>
        <v>0.46930142672290659</v>
      </c>
    </row>
    <row r="90" spans="1:11">
      <c r="A90" s="32" t="s">
        <v>23</v>
      </c>
      <c r="B90" s="99"/>
      <c r="C90" s="100"/>
      <c r="D90" s="100"/>
      <c r="E90" s="61">
        <f>GEOMEAN(E80:E83)</f>
        <v>2.5198420997897464</v>
      </c>
      <c r="F90" s="66">
        <f t="shared" ref="F90:K90" si="71">GEOMEAN(F80:F83)</f>
        <v>738.15911109607691</v>
      </c>
      <c r="G90" s="66">
        <f t="shared" si="71"/>
        <v>1611.0880914769978</v>
      </c>
      <c r="H90" s="61">
        <f t="shared" si="71"/>
        <v>4</v>
      </c>
      <c r="I90" s="61">
        <f t="shared" si="71"/>
        <v>0.90226626675772237</v>
      </c>
      <c r="J90" s="61">
        <f t="shared" si="71"/>
        <v>0.82065998072639368</v>
      </c>
      <c r="K90" s="116">
        <f t="shared" si="71"/>
        <v>0.22997763239716762</v>
      </c>
    </row>
    <row r="91" spans="1:11">
      <c r="A91" s="36" t="s">
        <v>24</v>
      </c>
      <c r="B91" s="102"/>
      <c r="C91" s="103"/>
      <c r="D91" s="103"/>
      <c r="E91" s="105">
        <f>(E86/E85)*100</f>
        <v>43.301270189221938</v>
      </c>
      <c r="F91" s="105">
        <f t="shared" ref="F91:K91" si="72">(F86/F85)*100</f>
        <v>87.201899794505309</v>
      </c>
      <c r="G91" s="105">
        <f t="shared" si="72"/>
        <v>72.919559352536581</v>
      </c>
      <c r="H91" s="104">
        <f t="shared" si="72"/>
        <v>0</v>
      </c>
      <c r="I91" s="105">
        <f t="shared" si="72"/>
        <v>29.504435586050366</v>
      </c>
      <c r="J91" s="105">
        <f t="shared" si="72"/>
        <v>64.028792029665624</v>
      </c>
      <c r="K91" s="121">
        <f t="shared" si="72"/>
        <v>67.468306400994663</v>
      </c>
    </row>
    <row r="92" spans="1:11" ht="15.6" thickBot="1">
      <c r="A92" s="44" t="s">
        <v>25</v>
      </c>
      <c r="B92" s="107"/>
      <c r="C92" s="108"/>
      <c r="D92" s="108"/>
      <c r="E92" s="109">
        <f>SQRT(EXP((STDEV(LN(E81),LN(E82),LN(E83)))^2)-1)*100</f>
        <v>41.675903104530711</v>
      </c>
      <c r="F92" s="109">
        <f t="shared" ref="F92:K92" si="73">SQRT(EXP((STDEV(LN(F81),LN(F82),LN(F83)))^2)-1)*100</f>
        <v>97.884446552368814</v>
      </c>
      <c r="G92" s="109">
        <f t="shared" si="73"/>
        <v>77.317600308361918</v>
      </c>
      <c r="H92" s="70">
        <f t="shared" si="73"/>
        <v>0</v>
      </c>
      <c r="I92" s="109">
        <f t="shared" si="73"/>
        <v>29.274911851747092</v>
      </c>
      <c r="J92" s="109">
        <f t="shared" si="73"/>
        <v>70.530502581455622</v>
      </c>
      <c r="K92" s="122">
        <f t="shared" si="73"/>
        <v>68.681617170932824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2673-C864-4B86-BC8A-5E0BD16271C2}">
  <dimension ref="A1:K92"/>
  <sheetViews>
    <sheetView tabSelected="1" workbookViewId="0">
      <selection activeCell="M31" sqref="M31"/>
    </sheetView>
  </sheetViews>
  <sheetFormatPr defaultColWidth="8.7109375" defaultRowHeight="14.85"/>
  <cols>
    <col min="1" max="1" width="14.85546875" style="67" bestFit="1" customWidth="1"/>
    <col min="2" max="2" width="12.5703125" style="67" customWidth="1"/>
    <col min="3" max="3" width="13.42578125" style="67" customWidth="1"/>
    <col min="4" max="4" width="14.140625" style="67" customWidth="1"/>
    <col min="5" max="5" width="12.85546875" style="67" customWidth="1"/>
    <col min="6" max="6" width="12" style="67" bestFit="1" customWidth="1"/>
    <col min="7" max="7" width="16.140625" style="67" bestFit="1" customWidth="1"/>
    <col min="8" max="8" width="12" style="67" customWidth="1"/>
    <col min="9" max="11" width="15.140625" style="67" customWidth="1"/>
    <col min="12" max="16384" width="8.7109375" style="67"/>
  </cols>
  <sheetData>
    <row r="1" spans="1:11" ht="15.6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7.45" thickBot="1">
      <c r="A2" s="2" t="s">
        <v>1</v>
      </c>
      <c r="B2" s="3" t="s">
        <v>2</v>
      </c>
      <c r="C2" s="3" t="s">
        <v>3</v>
      </c>
      <c r="D2" s="3" t="s">
        <v>4</v>
      </c>
      <c r="E2" s="85" t="s">
        <v>5</v>
      </c>
      <c r="F2" s="85" t="s">
        <v>6</v>
      </c>
      <c r="G2" s="85" t="s">
        <v>7</v>
      </c>
      <c r="H2" s="85" t="s">
        <v>8</v>
      </c>
      <c r="I2" s="85" t="s">
        <v>10</v>
      </c>
      <c r="J2" s="85" t="s">
        <v>11</v>
      </c>
      <c r="K2" s="86" t="s">
        <v>12</v>
      </c>
    </row>
    <row r="3" spans="1:11">
      <c r="A3" s="87" t="s">
        <v>13</v>
      </c>
      <c r="B3" s="88">
        <v>1</v>
      </c>
      <c r="C3" s="88">
        <f>[4]WNL_results!D3</f>
        <v>5</v>
      </c>
      <c r="D3" s="88">
        <v>300</v>
      </c>
      <c r="E3" s="89">
        <f>[4]WNL_results!F3</f>
        <v>2</v>
      </c>
      <c r="F3" s="90">
        <f>[4]WNL_results!G3</f>
        <v>1020</v>
      </c>
      <c r="G3" s="90">
        <f>[4]WNL_results!H3</f>
        <v>2515.83</v>
      </c>
      <c r="H3" s="89">
        <f>[4]WNL_results!I3</f>
        <v>4</v>
      </c>
      <c r="I3" s="89"/>
      <c r="J3" s="89"/>
      <c r="K3" s="91">
        <f>G3/'[2]PK parameter_nominal (3)'!$G$3</f>
        <v>0.59837991248459199</v>
      </c>
    </row>
    <row r="4" spans="1:11">
      <c r="A4" s="65" t="s">
        <v>14</v>
      </c>
      <c r="B4" s="20">
        <v>1</v>
      </c>
      <c r="C4" s="14">
        <f>[4]WNL_results!D5</f>
        <v>3</v>
      </c>
      <c r="D4" s="20">
        <v>300</v>
      </c>
      <c r="E4" s="92">
        <f>[4]WNL_results!F5</f>
        <v>2</v>
      </c>
      <c r="F4" s="93">
        <f>[4]WNL_results!G5</f>
        <v>394</v>
      </c>
      <c r="G4" s="93">
        <f>[4]WNL_results!H5</f>
        <v>296.75</v>
      </c>
      <c r="H4" s="92">
        <f>[4]WNL_results!I5</f>
        <v>2</v>
      </c>
      <c r="I4" s="61"/>
      <c r="J4" s="61"/>
      <c r="K4" s="94">
        <f>G4/'[2]PK parameter_nominal (3)'!$G$4</f>
        <v>0.32801834913090339</v>
      </c>
    </row>
    <row r="5" spans="1:11">
      <c r="A5" s="65" t="s">
        <v>15</v>
      </c>
      <c r="B5" s="20">
        <v>1</v>
      </c>
      <c r="C5" s="20">
        <f>[4]WNL_results!D6</f>
        <v>5</v>
      </c>
      <c r="D5" s="20">
        <v>300</v>
      </c>
      <c r="E5" s="61">
        <f>[4]WNL_results!F6</f>
        <v>0.5</v>
      </c>
      <c r="F5" s="66">
        <f>[4]WNL_results!G6</f>
        <v>445.45</v>
      </c>
      <c r="G5" s="66">
        <f>[4]WNL_results!H6</f>
        <v>943.38499999999999</v>
      </c>
      <c r="H5" s="61">
        <f>[4]WNL_results!I6</f>
        <v>4</v>
      </c>
      <c r="I5" s="61"/>
      <c r="J5" s="61"/>
      <c r="K5" s="94">
        <f>G5/'[2]PK parameter_nominal (3)'!$G$5</f>
        <v>0.56825629163805458</v>
      </c>
    </row>
    <row r="6" spans="1:11" ht="15.6" thickBot="1">
      <c r="A6" s="68" t="s">
        <v>16</v>
      </c>
      <c r="B6" s="69">
        <v>1</v>
      </c>
      <c r="C6" s="69">
        <f>[4]WNL_results!D8</f>
        <v>5</v>
      </c>
      <c r="D6" s="69">
        <v>300</v>
      </c>
      <c r="E6" s="70">
        <f>[4]WNL_results!F8</f>
        <v>0.5</v>
      </c>
      <c r="F6" s="71">
        <f>[4]WNL_results!G8</f>
        <v>1650</v>
      </c>
      <c r="G6" s="71">
        <f>[4]WNL_results!H8</f>
        <v>2186.86</v>
      </c>
      <c r="H6" s="70">
        <f>[4]WNL_results!I8</f>
        <v>4</v>
      </c>
      <c r="I6" s="70"/>
      <c r="J6" s="70"/>
      <c r="K6" s="95">
        <f>G6/'[2]PK parameter_nominal (3)'!$G$6</f>
        <v>1.0010585716263893</v>
      </c>
    </row>
    <row r="7" spans="1:11">
      <c r="A7" s="27" t="s">
        <v>17</v>
      </c>
      <c r="B7" s="96"/>
      <c r="C7" s="97"/>
      <c r="D7" s="97"/>
      <c r="E7" s="90">
        <f>COUNT(E3,E5:E6)</f>
        <v>3</v>
      </c>
      <c r="F7" s="90">
        <f>COUNT(F3,F5:F6)</f>
        <v>3</v>
      </c>
      <c r="G7" s="90">
        <f>COUNT(G3,G5:G6)</f>
        <v>3</v>
      </c>
      <c r="H7" s="90">
        <f>COUNT(H3,H5:H6)</f>
        <v>3</v>
      </c>
      <c r="I7" s="90">
        <f>COUNT(I3:I6)</f>
        <v>0</v>
      </c>
      <c r="J7" s="90">
        <f>COUNT(J3:J6)</f>
        <v>0</v>
      </c>
      <c r="K7" s="98">
        <f>COUNT(K3,K6)</f>
        <v>2</v>
      </c>
    </row>
    <row r="8" spans="1:11">
      <c r="A8" s="32" t="s">
        <v>18</v>
      </c>
      <c r="B8" s="99"/>
      <c r="C8" s="100"/>
      <c r="D8" s="100"/>
      <c r="E8" s="61">
        <f>AVERAGE(E3,E5:E6)</f>
        <v>1</v>
      </c>
      <c r="F8" s="66">
        <f>AVERAGE(F3,F5:F6)</f>
        <v>1038.4833333333333</v>
      </c>
      <c r="G8" s="66">
        <f>AVERAGE(G3,G5:G6)</f>
        <v>1882.0250000000003</v>
      </c>
      <c r="H8" s="61">
        <f>AVERAGE(H3,H5:H6)</f>
        <v>4</v>
      </c>
      <c r="I8" s="61"/>
      <c r="J8" s="61"/>
      <c r="K8" s="101">
        <f>AVERAGE(K3,K6)</f>
        <v>0.79971924205549061</v>
      </c>
    </row>
    <row r="9" spans="1:11">
      <c r="A9" s="32" t="s">
        <v>19</v>
      </c>
      <c r="B9" s="99"/>
      <c r="C9" s="100"/>
      <c r="D9" s="100"/>
      <c r="E9" s="61">
        <f>STDEV(E3,E5:E6)</f>
        <v>0.8660254037844386</v>
      </c>
      <c r="F9" s="66">
        <f>STDEV(F3,F5:F6)</f>
        <v>602.48767691408705</v>
      </c>
      <c r="G9" s="66">
        <f>STDEV(G3,G5:G6)</f>
        <v>829.36065883606921</v>
      </c>
      <c r="H9" s="61">
        <f>STDEV(H3,H5:H6)</f>
        <v>0</v>
      </c>
      <c r="I9" s="61"/>
      <c r="J9" s="61"/>
      <c r="K9" s="101">
        <f>STDEV(K3,K6)</f>
        <v>0.28473681051827116</v>
      </c>
    </row>
    <row r="10" spans="1:11">
      <c r="A10" s="32" t="s">
        <v>20</v>
      </c>
      <c r="B10" s="99"/>
      <c r="C10" s="100"/>
      <c r="D10" s="100"/>
      <c r="E10" s="61">
        <f>MIN(E3,E5:E6)</f>
        <v>0.5</v>
      </c>
      <c r="F10" s="66">
        <f>MIN(F3,F5:F6)</f>
        <v>445.45</v>
      </c>
      <c r="G10" s="66">
        <f>MIN(G3,G5:G6)</f>
        <v>943.38499999999999</v>
      </c>
      <c r="H10" s="61">
        <f>MIN(H3,H5:H6)</f>
        <v>4</v>
      </c>
      <c r="I10" s="61"/>
      <c r="J10" s="61"/>
      <c r="K10" s="101">
        <f>MIN(K3,K6)</f>
        <v>0.59837991248459199</v>
      </c>
    </row>
    <row r="11" spans="1:11">
      <c r="A11" s="32" t="s">
        <v>21</v>
      </c>
      <c r="B11" s="99"/>
      <c r="C11" s="100"/>
      <c r="D11" s="100"/>
      <c r="E11" s="61">
        <f>MEDIAN(E3,E5:E6)</f>
        <v>0.5</v>
      </c>
      <c r="F11" s="66">
        <f>MEDIAN(F3,F5:F6)</f>
        <v>1020</v>
      </c>
      <c r="G11" s="66">
        <f>MEDIAN(G3,G5:G6)</f>
        <v>2186.86</v>
      </c>
      <c r="H11" s="61">
        <f>MEDIAN(H3,H5:H6)</f>
        <v>4</v>
      </c>
      <c r="I11" s="61"/>
      <c r="J11" s="61"/>
      <c r="K11" s="101">
        <f>MEDIAN(K3,K6)</f>
        <v>0.79971924205549061</v>
      </c>
    </row>
    <row r="12" spans="1:11">
      <c r="A12" s="32" t="s">
        <v>22</v>
      </c>
      <c r="B12" s="99"/>
      <c r="C12" s="100"/>
      <c r="D12" s="100"/>
      <c r="E12" s="61">
        <f>MAX(E3,E5:E6)</f>
        <v>2</v>
      </c>
      <c r="F12" s="66">
        <f>MAX(F3,F5:F6)</f>
        <v>1650</v>
      </c>
      <c r="G12" s="66">
        <f>MAX(G3,G5:G6)</f>
        <v>2515.83</v>
      </c>
      <c r="H12" s="61">
        <f>MAX(H3,H5:H6)</f>
        <v>4</v>
      </c>
      <c r="I12" s="61"/>
      <c r="J12" s="61"/>
      <c r="K12" s="101">
        <f>MAX(K3,K6)</f>
        <v>1.0010585716263893</v>
      </c>
    </row>
    <row r="13" spans="1:11">
      <c r="A13" s="32" t="s">
        <v>23</v>
      </c>
      <c r="B13" s="99"/>
      <c r="C13" s="100"/>
      <c r="D13" s="100"/>
      <c r="E13" s="61">
        <f>GEOMEAN(E3,E5:E6)</f>
        <v>0.79370052598409979</v>
      </c>
      <c r="F13" s="66">
        <f>GEOMEAN(F3,F5:F6)</f>
        <v>908.436048947887</v>
      </c>
      <c r="G13" s="66">
        <f>GEOMEAN(G3,G5:G6)</f>
        <v>1731.3986705208595</v>
      </c>
      <c r="H13" s="61">
        <f>GEOMEAN(H3,H5:H6)</f>
        <v>4</v>
      </c>
      <c r="I13" s="61"/>
      <c r="J13" s="61"/>
      <c r="K13" s="101">
        <f>GEOMEAN(K3,K6)</f>
        <v>0.77395952121654876</v>
      </c>
    </row>
    <row r="14" spans="1:11">
      <c r="A14" s="36" t="s">
        <v>24</v>
      </c>
      <c r="B14" s="102"/>
      <c r="C14" s="103"/>
      <c r="D14" s="103"/>
      <c r="E14" s="104">
        <f>(E9/E8)*100</f>
        <v>86.602540378443862</v>
      </c>
      <c r="F14" s="105">
        <f>(F9/F8)*100</f>
        <v>58.016114228835683</v>
      </c>
      <c r="G14" s="105">
        <f>(G9/G8)*100</f>
        <v>44.067462378877487</v>
      </c>
      <c r="H14" s="104">
        <f>(H9/H8)*100</f>
        <v>0</v>
      </c>
      <c r="I14" s="104"/>
      <c r="J14" s="104"/>
      <c r="K14" s="106">
        <f>(K9/K8)*100</f>
        <v>35.604596656499346</v>
      </c>
    </row>
    <row r="15" spans="1:11" ht="15.6" thickBot="1">
      <c r="A15" s="44" t="s">
        <v>25</v>
      </c>
      <c r="B15" s="107"/>
      <c r="C15" s="108"/>
      <c r="D15" s="108"/>
      <c r="E15" s="109">
        <f>SQRT(EXP((STDEV(LN(E3),LN(E5),LN(E6)))^2)-1)*100</f>
        <v>94.743165187489666</v>
      </c>
      <c r="F15" s="109">
        <f>SQRT(EXP((STDEV(LN(F3),LN(F5),LN(F6)))^2)-1)*100</f>
        <v>74.211097932296028</v>
      </c>
      <c r="G15" s="109">
        <f>SQRT(EXP((STDEV(LN(G3),LN(G5),LN(G6)))^2)-1)*100</f>
        <v>57.011722195076842</v>
      </c>
      <c r="H15" s="109">
        <f>SQRT(EXP((STDEV(LN(H3),LN(H5),LN(H6)))^2)-1)*100</f>
        <v>0</v>
      </c>
      <c r="I15" s="70"/>
      <c r="J15" s="70"/>
      <c r="K15" s="110">
        <f>SQRT(EXP((STDEV(LN(K3),LN(K6)))^2)-1)*100</f>
        <v>37.625122352062142</v>
      </c>
    </row>
    <row r="16" spans="1:11" ht="15.6" thickBot="1">
      <c r="A16" s="50"/>
      <c r="C16" s="111"/>
      <c r="D16" s="111"/>
      <c r="E16" s="112"/>
      <c r="F16" s="112"/>
      <c r="G16" s="112"/>
      <c r="H16" s="112"/>
      <c r="I16" s="112"/>
      <c r="J16" s="112"/>
    </row>
    <row r="17" spans="1:11" ht="17.45" thickBot="1">
      <c r="A17" s="2" t="s">
        <v>1</v>
      </c>
      <c r="B17" s="3" t="s">
        <v>2</v>
      </c>
      <c r="C17" s="3" t="s">
        <v>3</v>
      </c>
      <c r="D17" s="3" t="s">
        <v>4</v>
      </c>
      <c r="E17" s="85" t="s">
        <v>5</v>
      </c>
      <c r="F17" s="85" t="s">
        <v>6</v>
      </c>
      <c r="G17" s="85" t="s">
        <v>7</v>
      </c>
      <c r="H17" s="85" t="s">
        <v>8</v>
      </c>
      <c r="I17" s="85" t="s">
        <v>10</v>
      </c>
      <c r="J17" s="85" t="s">
        <v>11</v>
      </c>
      <c r="K17" s="113" t="s">
        <v>12</v>
      </c>
    </row>
    <row r="18" spans="1:11">
      <c r="A18" s="87" t="s">
        <v>13</v>
      </c>
      <c r="B18" s="88">
        <v>5</v>
      </c>
      <c r="C18" s="88">
        <f>[4]WNL_results!D4</f>
        <v>5</v>
      </c>
      <c r="D18" s="88">
        <v>300</v>
      </c>
      <c r="E18" s="89">
        <f>[4]WNL_results!F4</f>
        <v>1</v>
      </c>
      <c r="F18" s="90">
        <f>[4]WNL_results!G4</f>
        <v>920</v>
      </c>
      <c r="G18" s="90">
        <f>[4]WNL_results!H4</f>
        <v>1615.75</v>
      </c>
      <c r="H18" s="89">
        <f>[4]WNL_results!I4</f>
        <v>4</v>
      </c>
      <c r="I18" s="89">
        <f>G18/G3</f>
        <v>0.64223337824892779</v>
      </c>
      <c r="J18" s="89">
        <f>F18/F3</f>
        <v>0.90196078431372551</v>
      </c>
      <c r="K18" s="114">
        <f>G18/'[2]PK parameter_nominal (3)'!$G$18</f>
        <v>0.74844058472629982</v>
      </c>
    </row>
    <row r="19" spans="1:11">
      <c r="A19" s="65" t="s">
        <v>14</v>
      </c>
      <c r="B19" s="20">
        <v>5</v>
      </c>
      <c r="C19" s="14"/>
      <c r="D19" s="20">
        <v>300</v>
      </c>
      <c r="E19" s="54"/>
      <c r="F19" s="55"/>
      <c r="G19" s="55"/>
      <c r="H19" s="54"/>
      <c r="I19" s="54"/>
      <c r="J19" s="54"/>
      <c r="K19" s="57"/>
    </row>
    <row r="20" spans="1:11">
      <c r="A20" s="65" t="s">
        <v>15</v>
      </c>
      <c r="B20" s="20">
        <v>5</v>
      </c>
      <c r="C20" s="20">
        <f>[4]WNL_results!D7</f>
        <v>5</v>
      </c>
      <c r="D20" s="20">
        <v>300</v>
      </c>
      <c r="E20" s="61">
        <f>[4]WNL_results!F7</f>
        <v>0.5</v>
      </c>
      <c r="F20" s="66">
        <f>[4]WNL_results!G7</f>
        <v>1075</v>
      </c>
      <c r="G20" s="66">
        <f>[4]WNL_results!H7</f>
        <v>901.42250000000001</v>
      </c>
      <c r="H20" s="61">
        <f>[4]WNL_results!I7</f>
        <v>4</v>
      </c>
      <c r="I20" s="61">
        <f>G20/G5</f>
        <v>0.95551922067872608</v>
      </c>
      <c r="J20" s="61">
        <f>F20/F5</f>
        <v>2.4132899315299134</v>
      </c>
      <c r="K20" s="116">
        <f>G20/'[2]PK parameter_nominal (3)'!$G$20</f>
        <v>0.38727635177081926</v>
      </c>
    </row>
    <row r="21" spans="1:11" ht="15.6" thickBot="1">
      <c r="A21" s="68" t="s">
        <v>16</v>
      </c>
      <c r="B21" s="69">
        <v>5</v>
      </c>
      <c r="C21" s="69">
        <f>[4]WNL_results!D9</f>
        <v>5</v>
      </c>
      <c r="D21" s="69">
        <v>300</v>
      </c>
      <c r="E21" s="70">
        <f>[4]WNL_results!F9</f>
        <v>2</v>
      </c>
      <c r="F21" s="71">
        <f>[4]WNL_results!G9</f>
        <v>310</v>
      </c>
      <c r="G21" s="71">
        <f>[4]WNL_results!H9</f>
        <v>844.25</v>
      </c>
      <c r="H21" s="70">
        <f>[4]WNL_results!I9</f>
        <v>4</v>
      </c>
      <c r="I21" s="70">
        <f>G21/G6</f>
        <v>0.386055806041539</v>
      </c>
      <c r="J21" s="70">
        <f>F21/F6</f>
        <v>0.18787878787878787</v>
      </c>
      <c r="K21" s="117">
        <f>G21/'[2]PK parameter_nominal (3)'!$G$21</f>
        <v>0.68299766603699552</v>
      </c>
    </row>
    <row r="22" spans="1:11">
      <c r="A22" s="27" t="s">
        <v>17</v>
      </c>
      <c r="B22" s="96"/>
      <c r="C22" s="97"/>
      <c r="D22" s="97"/>
      <c r="E22" s="90">
        <f>COUNT(E18:E21)</f>
        <v>3</v>
      </c>
      <c r="F22" s="90">
        <f>COUNT(F18,F20:F21)</f>
        <v>3</v>
      </c>
      <c r="G22" s="90">
        <f>COUNT(G18,G20:G21)</f>
        <v>3</v>
      </c>
      <c r="H22" s="90">
        <f>COUNT(H18,H20:H21)</f>
        <v>3</v>
      </c>
      <c r="I22" s="90">
        <f>COUNT(I18,I20:I21)</f>
        <v>3</v>
      </c>
      <c r="J22" s="90">
        <f>COUNT(J18,J20:J21)</f>
        <v>3</v>
      </c>
      <c r="K22" s="118">
        <f>COUNT(K20)</f>
        <v>1</v>
      </c>
    </row>
    <row r="23" spans="1:11">
      <c r="A23" s="32" t="s">
        <v>18</v>
      </c>
      <c r="B23" s="99"/>
      <c r="C23" s="100"/>
      <c r="D23" s="100"/>
      <c r="E23" s="61">
        <f>AVERAGE(E18:E21)</f>
        <v>1.1666666666666667</v>
      </c>
      <c r="F23" s="66">
        <f>AVERAGE(F18,F20:F21)</f>
        <v>768.33333333333337</v>
      </c>
      <c r="G23" s="66">
        <f>AVERAGE(G18,G20:G21)</f>
        <v>1120.4741666666666</v>
      </c>
      <c r="H23" s="61">
        <f>AVERAGE(H18,H20:H21)</f>
        <v>4</v>
      </c>
      <c r="I23" s="61">
        <f>AVERAGE(I18,I20:I21)</f>
        <v>0.66126946832306432</v>
      </c>
      <c r="J23" s="61">
        <f>AVERAGE(J18,J20:J21)</f>
        <v>1.1677098345741423</v>
      </c>
      <c r="K23" s="61">
        <f>AVERAGE(K20)</f>
        <v>0.38727635177081926</v>
      </c>
    </row>
    <row r="24" spans="1:11">
      <c r="A24" s="32" t="s">
        <v>19</v>
      </c>
      <c r="B24" s="99"/>
      <c r="C24" s="100"/>
      <c r="D24" s="100"/>
      <c r="E24" s="61">
        <f>STDEV(E18:E21)</f>
        <v>0.76376261582597338</v>
      </c>
      <c r="F24" s="66">
        <f>STDEV(F18,F20:F21)</f>
        <v>404.42345794146684</v>
      </c>
      <c r="G24" s="66">
        <f>STDEV(G18,G20:G21)</f>
        <v>429.87298938417047</v>
      </c>
      <c r="H24" s="61">
        <f>STDEV(H18,H20:H21)</f>
        <v>0</v>
      </c>
      <c r="I24" s="61">
        <f>STDEV(I18,I20:I21)</f>
        <v>0.28520856350492713</v>
      </c>
      <c r="J24" s="61">
        <f>STDEV(J18,J20:J21)</f>
        <v>1.1362572806619933</v>
      </c>
      <c r="K24" s="61" t="e">
        <f>STDEV(K20)</f>
        <v>#DIV/0!</v>
      </c>
    </row>
    <row r="25" spans="1:11">
      <c r="A25" s="32" t="s">
        <v>20</v>
      </c>
      <c r="B25" s="99"/>
      <c r="C25" s="100"/>
      <c r="D25" s="100"/>
      <c r="E25" s="61">
        <f>MIN(E18:E21)</f>
        <v>0.5</v>
      </c>
      <c r="F25" s="66">
        <f>MIN(F18,F20:F21)</f>
        <v>310</v>
      </c>
      <c r="G25" s="66">
        <f>MIN(G18,G20:G21)</f>
        <v>844.25</v>
      </c>
      <c r="H25" s="61">
        <f>MIN(H18,H20:H21)</f>
        <v>4</v>
      </c>
      <c r="I25" s="61">
        <f>MIN(I18,I20:I21)</f>
        <v>0.386055806041539</v>
      </c>
      <c r="J25" s="61">
        <f>MIN(J18,J20:J21)</f>
        <v>0.18787878787878787</v>
      </c>
      <c r="K25" s="61">
        <f>MIN(K20)</f>
        <v>0.38727635177081926</v>
      </c>
    </row>
    <row r="26" spans="1:11">
      <c r="A26" s="32" t="s">
        <v>21</v>
      </c>
      <c r="B26" s="99"/>
      <c r="C26" s="100"/>
      <c r="D26" s="100"/>
      <c r="E26" s="61">
        <f>MEDIAN(E18:E21)</f>
        <v>1</v>
      </c>
      <c r="F26" s="66">
        <f>MEDIAN(F18,F20:F21)</f>
        <v>920</v>
      </c>
      <c r="G26" s="66">
        <f>MEDIAN(G18,G20:G21)</f>
        <v>901.42250000000001</v>
      </c>
      <c r="H26" s="61">
        <f>MEDIAN(H18,H20:H21)</f>
        <v>4</v>
      </c>
      <c r="I26" s="61">
        <f>MEDIAN(I18,I20:I21)</f>
        <v>0.64223337824892779</v>
      </c>
      <c r="J26" s="61">
        <f>MEDIAN(J18,J20:J21)</f>
        <v>0.90196078431372551</v>
      </c>
      <c r="K26" s="61">
        <f>MEDIAN(K20)</f>
        <v>0.38727635177081926</v>
      </c>
    </row>
    <row r="27" spans="1:11">
      <c r="A27" s="32" t="s">
        <v>22</v>
      </c>
      <c r="B27" s="99"/>
      <c r="C27" s="100"/>
      <c r="D27" s="100"/>
      <c r="E27" s="61">
        <f>MAX(E18:E21)</f>
        <v>2</v>
      </c>
      <c r="F27" s="66">
        <f>MAX(F18,F20:F21)</f>
        <v>1075</v>
      </c>
      <c r="G27" s="66">
        <f>MAX(G18,G20:G21)</f>
        <v>1615.75</v>
      </c>
      <c r="H27" s="61">
        <f>MAX(H18,H20:H21)</f>
        <v>4</v>
      </c>
      <c r="I27" s="61">
        <f>MAX(I18,I20:I21)</f>
        <v>0.95551922067872608</v>
      </c>
      <c r="J27" s="61">
        <f>MAX(J18,J20:J21)</f>
        <v>2.4132899315299134</v>
      </c>
      <c r="K27" s="61">
        <f>MAX(K20)</f>
        <v>0.38727635177081926</v>
      </c>
    </row>
    <row r="28" spans="1:11">
      <c r="A28" s="32" t="s">
        <v>23</v>
      </c>
      <c r="B28" s="99"/>
      <c r="C28" s="100"/>
      <c r="D28" s="100"/>
      <c r="E28" s="61">
        <f>GEOMEAN(E18:E21)</f>
        <v>1</v>
      </c>
      <c r="F28" s="66">
        <f>GEOMEAN(F18,F20:F21)</f>
        <v>674.29922699695578</v>
      </c>
      <c r="G28" s="66">
        <f>GEOMEAN(G18,G20:G21)</f>
        <v>1071.3331482202236</v>
      </c>
      <c r="H28" s="61">
        <f>GEOMEAN(H18,H20:H21)</f>
        <v>4</v>
      </c>
      <c r="I28" s="61">
        <f>GEOMEAN(I18,I20:I21)</f>
        <v>0.61876745457932736</v>
      </c>
      <c r="J28" s="61">
        <f>GEOMEAN(J18,J20:J21)</f>
        <v>0.74226383659906614</v>
      </c>
      <c r="K28" s="61">
        <f>GEOMEAN(K20)</f>
        <v>0.38727635177081926</v>
      </c>
    </row>
    <row r="29" spans="1:11">
      <c r="A29" s="36" t="s">
        <v>24</v>
      </c>
      <c r="B29" s="102"/>
      <c r="C29" s="103"/>
      <c r="D29" s="103"/>
      <c r="E29" s="105">
        <f t="shared" ref="E29:K29" si="0">(E24/E23)*100</f>
        <v>65.465367070797711</v>
      </c>
      <c r="F29" s="105">
        <f t="shared" si="0"/>
        <v>52.636458734247306</v>
      </c>
      <c r="G29" s="105">
        <f t="shared" si="0"/>
        <v>38.365274467952524</v>
      </c>
      <c r="H29" s="104">
        <f t="shared" si="0"/>
        <v>0</v>
      </c>
      <c r="I29" s="105">
        <f t="shared" si="0"/>
        <v>43.130459996617901</v>
      </c>
      <c r="J29" s="105">
        <f t="shared" si="0"/>
        <v>97.30647520634956</v>
      </c>
      <c r="K29" s="105" t="e">
        <f t="shared" si="0"/>
        <v>#DIV/0!</v>
      </c>
    </row>
    <row r="30" spans="1:11" ht="15.6" thickBot="1">
      <c r="A30" s="44" t="s">
        <v>25</v>
      </c>
      <c r="B30" s="107"/>
      <c r="C30" s="108"/>
      <c r="D30" s="108"/>
      <c r="E30" s="109" t="e">
        <f>SQRT(EXP((STDEV(LN(E18),LN(E19),LN(E20),LN(E21)))^2)-1)*100</f>
        <v>#NUM!</v>
      </c>
      <c r="F30" s="109">
        <f>SQRT(EXP((STDEV(LN(F18),LN(F20),LN(F21)))^2)-1)*100</f>
        <v>76.318596124027295</v>
      </c>
      <c r="G30" s="109">
        <f>SQRT(EXP((STDEV(LN(G18),LN(G20),LN(G21)))^2)-1)*100</f>
        <v>36.906874337093171</v>
      </c>
      <c r="H30" s="70">
        <f>SQRT(EXP((STDEV(LN(H18),LN(H20),LN(H21)))^2)-1)*100</f>
        <v>0</v>
      </c>
      <c r="I30" s="109">
        <f>SQRT(EXP((STDEV(LN(I18),LN(I20),LN(I21)))^2)-1)*100</f>
        <v>47.875893652095883</v>
      </c>
      <c r="J30" s="109">
        <f>SQRT(EXP((STDEV(LN(J18),LN(J20),LN(J21)))^2)-1)*100</f>
        <v>206.1093158560042</v>
      </c>
      <c r="K30" s="109" t="e">
        <f>SQRT(EXP((STDEV(LN(K20)))^2)-1)*100</f>
        <v>#DIV/0!</v>
      </c>
    </row>
    <row r="31" spans="1:11">
      <c r="A31" s="50"/>
      <c r="C31" s="111"/>
      <c r="D31" s="111"/>
      <c r="E31" s="112"/>
      <c r="F31" s="112"/>
      <c r="G31" s="112"/>
      <c r="H31" s="112"/>
      <c r="I31" s="112"/>
      <c r="J31" s="112"/>
    </row>
    <row r="32" spans="1:11" ht="15.6" thickBot="1">
      <c r="A32" s="1" t="s">
        <v>26</v>
      </c>
      <c r="C32" s="111"/>
      <c r="D32" s="111"/>
      <c r="E32" s="112"/>
      <c r="F32" s="112"/>
      <c r="G32" s="112"/>
      <c r="H32" s="112"/>
      <c r="I32" s="112"/>
      <c r="J32" s="112"/>
    </row>
    <row r="33" spans="1:11" ht="17.45" thickBot="1">
      <c r="A33" s="2" t="s">
        <v>1</v>
      </c>
      <c r="B33" s="3" t="s">
        <v>2</v>
      </c>
      <c r="C33" s="3" t="s">
        <v>3</v>
      </c>
      <c r="D33" s="3" t="s">
        <v>4</v>
      </c>
      <c r="E33" s="85" t="s">
        <v>5</v>
      </c>
      <c r="F33" s="85" t="s">
        <v>6</v>
      </c>
      <c r="G33" s="85" t="s">
        <v>7</v>
      </c>
      <c r="H33" s="85" t="s">
        <v>8</v>
      </c>
      <c r="I33" s="85" t="s">
        <v>10</v>
      </c>
      <c r="J33" s="85" t="s">
        <v>11</v>
      </c>
      <c r="K33" s="113" t="s">
        <v>12</v>
      </c>
    </row>
    <row r="34" spans="1:11">
      <c r="A34" s="87" t="s">
        <v>27</v>
      </c>
      <c r="B34" s="88">
        <v>1</v>
      </c>
      <c r="C34" s="88">
        <f>[4]WNL_results!D10</f>
        <v>5</v>
      </c>
      <c r="D34" s="88">
        <v>600</v>
      </c>
      <c r="E34" s="89">
        <f>[4]WNL_results!F10</f>
        <v>4</v>
      </c>
      <c r="F34" s="90">
        <f>[4]WNL_results!G10</f>
        <v>362</v>
      </c>
      <c r="G34" s="90">
        <f>[4]WNL_results!H10</f>
        <v>931.04</v>
      </c>
      <c r="H34" s="89">
        <f>[4]WNL_results!I10</f>
        <v>4</v>
      </c>
      <c r="I34" s="89"/>
      <c r="J34" s="89"/>
      <c r="K34" s="119">
        <f>G34/'[2]PK parameter_nominal (3)'!$G$34</f>
        <v>0.1965951022261169</v>
      </c>
    </row>
    <row r="35" spans="1:11">
      <c r="A35" s="65" t="s">
        <v>28</v>
      </c>
      <c r="B35" s="20">
        <v>1</v>
      </c>
      <c r="C35" s="20">
        <f>[4]WNL_results!D12</f>
        <v>5</v>
      </c>
      <c r="D35" s="20">
        <v>600</v>
      </c>
      <c r="E35" s="61">
        <f>[4]WNL_results!F12</f>
        <v>2</v>
      </c>
      <c r="F35" s="66">
        <f>[4]WNL_results!G12</f>
        <v>1260</v>
      </c>
      <c r="G35" s="66">
        <f>[4]WNL_results!H12</f>
        <v>3276</v>
      </c>
      <c r="H35" s="61">
        <f>[4]WNL_results!I12</f>
        <v>4</v>
      </c>
      <c r="I35" s="61"/>
      <c r="J35" s="61"/>
      <c r="K35" s="116">
        <f>G35/'[2]PK parameter_nominal (3)'!$G$35</f>
        <v>0.45488501517671925</v>
      </c>
    </row>
    <row r="36" spans="1:11">
      <c r="A36" s="65" t="s">
        <v>29</v>
      </c>
      <c r="B36" s="20">
        <v>1</v>
      </c>
      <c r="C36" s="14">
        <f>[4]WNL_results!D14</f>
        <v>3</v>
      </c>
      <c r="D36" s="20">
        <v>600</v>
      </c>
      <c r="E36" s="92">
        <f>[4]WNL_results!F14</f>
        <v>2</v>
      </c>
      <c r="F36" s="93">
        <f>[4]WNL_results!G14</f>
        <v>515</v>
      </c>
      <c r="G36" s="93">
        <f>[4]WNL_results!H14</f>
        <v>1240</v>
      </c>
      <c r="H36" s="92">
        <f>[4]WNL_results!I14</f>
        <v>4</v>
      </c>
      <c r="I36" s="61"/>
      <c r="J36" s="61"/>
      <c r="K36" s="115">
        <f>G36/'[2]PK parameter_nominal (3)'!$G$36</f>
        <v>0.24230439293956266</v>
      </c>
    </row>
    <row r="37" spans="1:11" ht="15.6" thickBot="1">
      <c r="A37" s="68" t="s">
        <v>30</v>
      </c>
      <c r="B37" s="69">
        <v>1</v>
      </c>
      <c r="C37" s="69">
        <f>[4]WNL_results!D16</f>
        <v>5</v>
      </c>
      <c r="D37" s="69">
        <v>600</v>
      </c>
      <c r="E37" s="70">
        <f>[4]WNL_results!F16</f>
        <v>0.5</v>
      </c>
      <c r="F37" s="71">
        <f>[4]WNL_results!G16</f>
        <v>151.66999999999999</v>
      </c>
      <c r="G37" s="71">
        <f>[4]WNL_results!H16</f>
        <v>481.47250000000003</v>
      </c>
      <c r="H37" s="70">
        <f>[4]WNL_results!I16</f>
        <v>4</v>
      </c>
      <c r="I37" s="70"/>
      <c r="J37" s="70"/>
      <c r="K37" s="120">
        <f>G37/'[2]PK parameter_nominal (3)'!$G$37</f>
        <v>8.9118335178117292E-2</v>
      </c>
    </row>
    <row r="38" spans="1:11">
      <c r="A38" s="27" t="s">
        <v>17</v>
      </c>
      <c r="B38" s="96"/>
      <c r="C38" s="97"/>
      <c r="D38" s="97"/>
      <c r="E38" s="90">
        <f>COUNT(E34:E35,E37)</f>
        <v>3</v>
      </c>
      <c r="F38" s="90">
        <f>COUNT(F34:F35,F37)</f>
        <v>3</v>
      </c>
      <c r="G38" s="90">
        <f>COUNT(G34:G35,G37)</f>
        <v>3</v>
      </c>
      <c r="H38" s="90">
        <f>COUNT(H34:H35,H37)</f>
        <v>3</v>
      </c>
      <c r="I38" s="90">
        <f>COUNT(I34:I37)</f>
        <v>0</v>
      </c>
      <c r="J38" s="90">
        <f>COUNT(J34:J37)</f>
        <v>0</v>
      </c>
      <c r="K38" s="118">
        <f>COUNT(K34:K35,K37)</f>
        <v>3</v>
      </c>
    </row>
    <row r="39" spans="1:11">
      <c r="A39" s="32" t="s">
        <v>18</v>
      </c>
      <c r="B39" s="99"/>
      <c r="C39" s="100"/>
      <c r="D39" s="100"/>
      <c r="E39" s="61">
        <f>AVERAGE(E34:E35,E37)</f>
        <v>2.1666666666666665</v>
      </c>
      <c r="F39" s="66">
        <f>AVERAGE(F34:F35,F37)</f>
        <v>591.22333333333336</v>
      </c>
      <c r="G39" s="66">
        <f>AVERAGE(G34:G35,G37)</f>
        <v>1562.8374999999999</v>
      </c>
      <c r="H39" s="61">
        <f>AVERAGE(H34:H35,H37)</f>
        <v>4</v>
      </c>
      <c r="I39" s="61"/>
      <c r="J39" s="61"/>
      <c r="K39" s="116">
        <f>AVERAGE(K34:K35,K37)</f>
        <v>0.24686615086031782</v>
      </c>
    </row>
    <row r="40" spans="1:11">
      <c r="A40" s="32" t="s">
        <v>19</v>
      </c>
      <c r="B40" s="99"/>
      <c r="C40" s="100"/>
      <c r="D40" s="100"/>
      <c r="E40" s="61">
        <f>STDEV(E34:E35,E37)</f>
        <v>1.7559422921421231</v>
      </c>
      <c r="F40" s="66">
        <f>STDEV(F34:F35,F37)</f>
        <v>588.64789954040714</v>
      </c>
      <c r="G40" s="66">
        <f>STDEV(G34:G35,G37)</f>
        <v>1500.5739061501604</v>
      </c>
      <c r="H40" s="61">
        <f>STDEV(H34:H35,H37)</f>
        <v>0</v>
      </c>
      <c r="I40" s="61"/>
      <c r="J40" s="61"/>
      <c r="K40" s="116">
        <f>STDEV(K34:K35,K37)</f>
        <v>0.1879938823403213</v>
      </c>
    </row>
    <row r="41" spans="1:11">
      <c r="A41" s="32" t="s">
        <v>20</v>
      </c>
      <c r="B41" s="99"/>
      <c r="C41" s="100"/>
      <c r="D41" s="100"/>
      <c r="E41" s="61">
        <f>MIN(E34:E35,E37)</f>
        <v>0.5</v>
      </c>
      <c r="F41" s="66">
        <f>MIN(F34:F35,F37)</f>
        <v>151.66999999999999</v>
      </c>
      <c r="G41" s="66">
        <f>MIN(G34:G35,G37)</f>
        <v>481.47250000000003</v>
      </c>
      <c r="H41" s="61">
        <f>MIN(H34:H35,H37)</f>
        <v>4</v>
      </c>
      <c r="I41" s="61"/>
      <c r="J41" s="61"/>
      <c r="K41" s="116">
        <f>MIN(K34:K35,K37)</f>
        <v>8.9118335178117292E-2</v>
      </c>
    </row>
    <row r="42" spans="1:11">
      <c r="A42" s="32" t="s">
        <v>21</v>
      </c>
      <c r="B42" s="99"/>
      <c r="C42" s="100"/>
      <c r="D42" s="100"/>
      <c r="E42" s="61">
        <f>MEDIAN(E34:E35,E37)</f>
        <v>2</v>
      </c>
      <c r="F42" s="66">
        <f>MEDIAN(F34:F35,F37)</f>
        <v>362</v>
      </c>
      <c r="G42" s="66">
        <f>MEDIAN(G34:G35,G37)</f>
        <v>931.04</v>
      </c>
      <c r="H42" s="61">
        <f>MEDIAN(H34:H35,H37)</f>
        <v>4</v>
      </c>
      <c r="I42" s="61"/>
      <c r="J42" s="61"/>
      <c r="K42" s="116">
        <f>MEDIAN(K34:K35,K37)</f>
        <v>0.1965951022261169</v>
      </c>
    </row>
    <row r="43" spans="1:11">
      <c r="A43" s="32" t="s">
        <v>22</v>
      </c>
      <c r="B43" s="99"/>
      <c r="C43" s="100"/>
      <c r="D43" s="100"/>
      <c r="E43" s="61">
        <f>MAX(E34:E35,E37)</f>
        <v>4</v>
      </c>
      <c r="F43" s="66">
        <f>MAX(F34:F35,F37)</f>
        <v>1260</v>
      </c>
      <c r="G43" s="66">
        <f>MAX(G34:G35,G37)</f>
        <v>3276</v>
      </c>
      <c r="H43" s="61">
        <f>MAX(H34:H35,H37)</f>
        <v>4</v>
      </c>
      <c r="I43" s="61"/>
      <c r="J43" s="61"/>
      <c r="K43" s="116">
        <f>MAX(K34:K35,K37)</f>
        <v>0.45488501517671925</v>
      </c>
    </row>
    <row r="44" spans="1:11">
      <c r="A44" s="32" t="s">
        <v>23</v>
      </c>
      <c r="B44" s="99"/>
      <c r="C44" s="100"/>
      <c r="D44" s="100"/>
      <c r="E44" s="61">
        <f>GEOMEAN(E34:E35,E37)</f>
        <v>1.5874010519681994</v>
      </c>
      <c r="F44" s="66">
        <f>GEOMEAN(F34:F35,F37)</f>
        <v>410.51238814059218</v>
      </c>
      <c r="G44" s="66">
        <f>GEOMEAN(G34:G35,G37)</f>
        <v>1136.6530106353764</v>
      </c>
      <c r="H44" s="61">
        <f>GEOMEAN(H34:H35,H37)</f>
        <v>4</v>
      </c>
      <c r="I44" s="61"/>
      <c r="J44" s="61"/>
      <c r="K44" s="116">
        <f>GEOMEAN(K34:K35,K37)</f>
        <v>0.1997470909639143</v>
      </c>
    </row>
    <row r="45" spans="1:11">
      <c r="A45" s="36" t="s">
        <v>24</v>
      </c>
      <c r="B45" s="102"/>
      <c r="C45" s="103"/>
      <c r="D45" s="103"/>
      <c r="E45" s="105">
        <f>(E40/E39)*100</f>
        <v>81.043490406559528</v>
      </c>
      <c r="F45" s="105">
        <f>(F40/F39)*100</f>
        <v>99.564389013808736</v>
      </c>
      <c r="G45" s="105">
        <f>(G40/G39)*100</f>
        <v>96.0159905396537</v>
      </c>
      <c r="H45" s="104">
        <f>(H40/H39)*100</f>
        <v>0</v>
      </c>
      <c r="I45" s="104"/>
      <c r="J45" s="104"/>
      <c r="K45" s="121">
        <f>(K40/K39)*100</f>
        <v>76.152150339433248</v>
      </c>
    </row>
    <row r="46" spans="1:11" ht="15.6" thickBot="1">
      <c r="A46" s="44" t="s">
        <v>25</v>
      </c>
      <c r="B46" s="107"/>
      <c r="C46" s="108"/>
      <c r="D46" s="108"/>
      <c r="E46" s="109">
        <f>SQRT(EXP((STDEV(LN(E34),LN(E35),LN(E37)))^2)-1)*100</f>
        <v>143.80874683171351</v>
      </c>
      <c r="F46" s="109">
        <f>SQRT(EXP((STDEV(LN(F34),LN(F35),LN(F37)))^2)-1)*100</f>
        <v>145.02624419477738</v>
      </c>
      <c r="G46" s="109">
        <f>SQRT(EXP((STDEV(LN(G34),LN(G35),LN(G37)))^2)-1)*100</f>
        <v>125.83176392961816</v>
      </c>
      <c r="H46" s="70">
        <f>SQRT(EXP((STDEV(LN(H34),LN(H35),LN(H37)))^2)-1)*100</f>
        <v>0</v>
      </c>
      <c r="I46" s="70"/>
      <c r="J46" s="70"/>
      <c r="K46" s="122">
        <f>SQRT(EXP((STDEV(LN(K34),LN(K35),LN(K37)))^2)-1)*100</f>
        <v>97.132840727592153</v>
      </c>
    </row>
    <row r="47" spans="1:11" ht="15.6" thickBot="1">
      <c r="C47" s="111"/>
      <c r="D47" s="111"/>
      <c r="E47" s="112"/>
      <c r="F47" s="112"/>
      <c r="G47" s="112"/>
      <c r="H47" s="112"/>
      <c r="I47" s="112"/>
      <c r="J47" s="112"/>
    </row>
    <row r="48" spans="1:11" ht="17.45" thickBot="1">
      <c r="A48" s="2" t="s">
        <v>1</v>
      </c>
      <c r="B48" s="3" t="s">
        <v>2</v>
      </c>
      <c r="C48" s="3" t="s">
        <v>3</v>
      </c>
      <c r="D48" s="3" t="s">
        <v>4</v>
      </c>
      <c r="E48" s="85" t="s">
        <v>5</v>
      </c>
      <c r="F48" s="85" t="s">
        <v>6</v>
      </c>
      <c r="G48" s="85" t="s">
        <v>7</v>
      </c>
      <c r="H48" s="85" t="s">
        <v>8</v>
      </c>
      <c r="I48" s="85" t="s">
        <v>10</v>
      </c>
      <c r="J48" s="85" t="s">
        <v>11</v>
      </c>
      <c r="K48" s="113" t="s">
        <v>12</v>
      </c>
    </row>
    <row r="49" spans="1:11">
      <c r="A49" s="87" t="s">
        <v>27</v>
      </c>
      <c r="B49" s="88">
        <v>5</v>
      </c>
      <c r="C49" s="88">
        <f>[4]WNL_results!D11</f>
        <v>5</v>
      </c>
      <c r="D49" s="88">
        <v>600</v>
      </c>
      <c r="E49" s="89">
        <f>[4]WNL_results!F11</f>
        <v>2</v>
      </c>
      <c r="F49" s="90">
        <f>[4]WNL_results!G11</f>
        <v>256</v>
      </c>
      <c r="G49" s="90">
        <f>[4]WNL_results!H11</f>
        <v>519.88</v>
      </c>
      <c r="H49" s="89">
        <f>[4]WNL_results!I11</f>
        <v>4</v>
      </c>
      <c r="I49" s="89">
        <f>G49/G34</f>
        <v>0.55838632067365523</v>
      </c>
      <c r="J49" s="89">
        <f>F49/F34</f>
        <v>0.70718232044198892</v>
      </c>
      <c r="K49" s="119">
        <f>G49/'[2]PK parameter_nominal (3)'!$G$49</f>
        <v>0.11755534714814432</v>
      </c>
    </row>
    <row r="50" spans="1:11">
      <c r="A50" s="65" t="s">
        <v>28</v>
      </c>
      <c r="B50" s="20">
        <v>5</v>
      </c>
      <c r="C50" s="14">
        <f>[4]WNL_results!D13</f>
        <v>3</v>
      </c>
      <c r="D50" s="20">
        <v>600</v>
      </c>
      <c r="E50" s="92">
        <f>[4]WNL_results!F13</f>
        <v>0.5</v>
      </c>
      <c r="F50" s="93">
        <f>[4]WNL_results!G13</f>
        <v>445</v>
      </c>
      <c r="G50" s="93">
        <f>[4]WNL_results!H13</f>
        <v>1345.3125</v>
      </c>
      <c r="H50" s="92">
        <f>[4]WNL_results!I13</f>
        <v>4</v>
      </c>
      <c r="I50" s="92">
        <f>G50/G35</f>
        <v>0.41065705128205127</v>
      </c>
      <c r="J50" s="92">
        <f>F50/F35</f>
        <v>0.3531746031746032</v>
      </c>
      <c r="K50" s="115">
        <f>G50/'[2]PK parameter_nominal (3)'!$G$50</f>
        <v>0.19372721623935379</v>
      </c>
    </row>
    <row r="51" spans="1:11">
      <c r="A51" s="65" t="s">
        <v>29</v>
      </c>
      <c r="B51" s="20">
        <v>5</v>
      </c>
      <c r="C51" s="14">
        <f>[4]WNL_results!D15</f>
        <v>1</v>
      </c>
      <c r="D51" s="20">
        <v>600</v>
      </c>
      <c r="E51" s="92">
        <f>[4]WNL_results!F15</f>
        <v>0</v>
      </c>
      <c r="F51" s="92">
        <f>[4]WNL_results!G15</f>
        <v>1.25</v>
      </c>
      <c r="G51" s="92">
        <f>[4]WNL_results!H15</f>
        <v>0</v>
      </c>
      <c r="H51" s="92">
        <f>[4]WNL_results!I15</f>
        <v>0</v>
      </c>
      <c r="I51" s="92">
        <f>G51/G36</f>
        <v>0</v>
      </c>
      <c r="J51" s="92">
        <f>F51/F36</f>
        <v>2.4271844660194173E-3</v>
      </c>
      <c r="K51" s="115">
        <f>G51/'[2]PK parameter_nominal (3)'!$G$51</f>
        <v>0</v>
      </c>
    </row>
    <row r="52" spans="1:11" ht="15.6" thickBot="1">
      <c r="A52" s="68" t="s">
        <v>30</v>
      </c>
      <c r="B52" s="69">
        <v>5</v>
      </c>
      <c r="C52" s="69">
        <f>[4]WNL_results!D17</f>
        <v>5</v>
      </c>
      <c r="D52" s="69">
        <v>600</v>
      </c>
      <c r="E52" s="70">
        <f>[4]WNL_results!F17</f>
        <v>1</v>
      </c>
      <c r="F52" s="71">
        <f>[4]WNL_results!G17</f>
        <v>1007.5</v>
      </c>
      <c r="G52" s="71">
        <f>[4]WNL_results!H17</f>
        <v>1079.9024999999999</v>
      </c>
      <c r="H52" s="70">
        <f>[4]WNL_results!I17</f>
        <v>4</v>
      </c>
      <c r="I52" s="70">
        <f>G52/G37</f>
        <v>2.2429162620918119</v>
      </c>
      <c r="J52" s="70">
        <f>F52/F37</f>
        <v>6.6427111492055122</v>
      </c>
      <c r="K52" s="120">
        <f>G52/'[2]PK parameter_nominal (3)'!$G$52</f>
        <v>0.23614710887747287</v>
      </c>
    </row>
    <row r="53" spans="1:11">
      <c r="A53" s="27" t="s">
        <v>17</v>
      </c>
      <c r="B53" s="96"/>
      <c r="C53" s="97"/>
      <c r="D53" s="97"/>
      <c r="E53" s="90">
        <f t="shared" ref="E53:K53" si="1">COUNT(E49,E52)</f>
        <v>2</v>
      </c>
      <c r="F53" s="90">
        <f t="shared" si="1"/>
        <v>2</v>
      </c>
      <c r="G53" s="90">
        <f t="shared" si="1"/>
        <v>2</v>
      </c>
      <c r="H53" s="90">
        <f t="shared" si="1"/>
        <v>2</v>
      </c>
      <c r="I53" s="90">
        <f t="shared" si="1"/>
        <v>2</v>
      </c>
      <c r="J53" s="90">
        <f t="shared" si="1"/>
        <v>2</v>
      </c>
      <c r="K53" s="90">
        <f t="shared" si="1"/>
        <v>2</v>
      </c>
    </row>
    <row r="54" spans="1:11">
      <c r="A54" s="32" t="s">
        <v>18</v>
      </c>
      <c r="B54" s="99"/>
      <c r="C54" s="100"/>
      <c r="D54" s="100"/>
      <c r="E54" s="61">
        <f t="shared" ref="E54:K54" si="2">AVERAGE(E49,E52)</f>
        <v>1.5</v>
      </c>
      <c r="F54" s="61">
        <f t="shared" si="2"/>
        <v>631.75</v>
      </c>
      <c r="G54" s="61">
        <f t="shared" si="2"/>
        <v>799.8912499999999</v>
      </c>
      <c r="H54" s="61">
        <f t="shared" si="2"/>
        <v>4</v>
      </c>
      <c r="I54" s="61">
        <f t="shared" si="2"/>
        <v>1.4006512913827336</v>
      </c>
      <c r="J54" s="61">
        <f t="shared" si="2"/>
        <v>3.6749467348237506</v>
      </c>
      <c r="K54" s="61">
        <f t="shared" si="2"/>
        <v>0.17685122801280859</v>
      </c>
    </row>
    <row r="55" spans="1:11">
      <c r="A55" s="32" t="s">
        <v>19</v>
      </c>
      <c r="B55" s="99"/>
      <c r="C55" s="100"/>
      <c r="D55" s="100"/>
      <c r="E55" s="61">
        <f t="shared" ref="E55:K55" si="3">STDEV(E49,E52)</f>
        <v>0.70710678118654757</v>
      </c>
      <c r="F55" s="61">
        <f t="shared" si="3"/>
        <v>531.39074606169049</v>
      </c>
      <c r="G55" s="61">
        <f t="shared" si="3"/>
        <v>395.99570736704328</v>
      </c>
      <c r="H55" s="61">
        <f t="shared" si="3"/>
        <v>0</v>
      </c>
      <c r="I55" s="61">
        <f t="shared" si="3"/>
        <v>1.1911425446885564</v>
      </c>
      <c r="J55" s="61">
        <f t="shared" si="3"/>
        <v>4.197052684746934</v>
      </c>
      <c r="K55" s="61">
        <f t="shared" si="3"/>
        <v>8.3857038911667459E-2</v>
      </c>
    </row>
    <row r="56" spans="1:11">
      <c r="A56" s="32" t="s">
        <v>20</v>
      </c>
      <c r="B56" s="99"/>
      <c r="C56" s="100"/>
      <c r="D56" s="100"/>
      <c r="E56" s="61">
        <f t="shared" ref="E56:K56" si="4">MIN(E49,E52)</f>
        <v>1</v>
      </c>
      <c r="F56" s="61">
        <f t="shared" si="4"/>
        <v>256</v>
      </c>
      <c r="G56" s="61">
        <f t="shared" si="4"/>
        <v>519.88</v>
      </c>
      <c r="H56" s="61">
        <f t="shared" si="4"/>
        <v>4</v>
      </c>
      <c r="I56" s="61">
        <f t="shared" si="4"/>
        <v>0.55838632067365523</v>
      </c>
      <c r="J56" s="61">
        <f t="shared" si="4"/>
        <v>0.70718232044198892</v>
      </c>
      <c r="K56" s="61">
        <f t="shared" si="4"/>
        <v>0.11755534714814432</v>
      </c>
    </row>
    <row r="57" spans="1:11">
      <c r="A57" s="32" t="s">
        <v>21</v>
      </c>
      <c r="B57" s="99"/>
      <c r="C57" s="100"/>
      <c r="D57" s="100"/>
      <c r="E57" s="61">
        <f t="shared" ref="E57:K57" si="5">MEDIAN(E49,E52)</f>
        <v>1.5</v>
      </c>
      <c r="F57" s="61">
        <f t="shared" si="5"/>
        <v>631.75</v>
      </c>
      <c r="G57" s="61">
        <f t="shared" si="5"/>
        <v>799.8912499999999</v>
      </c>
      <c r="H57" s="61">
        <f t="shared" si="5"/>
        <v>4</v>
      </c>
      <c r="I57" s="61">
        <f t="shared" si="5"/>
        <v>1.4006512913827336</v>
      </c>
      <c r="J57" s="61">
        <f t="shared" si="5"/>
        <v>3.6749467348237506</v>
      </c>
      <c r="K57" s="61">
        <f t="shared" si="5"/>
        <v>0.17685122801280859</v>
      </c>
    </row>
    <row r="58" spans="1:11">
      <c r="A58" s="32" t="s">
        <v>22</v>
      </c>
      <c r="B58" s="99"/>
      <c r="C58" s="100"/>
      <c r="D58" s="100"/>
      <c r="E58" s="61">
        <f t="shared" ref="E58:K58" si="6">MAX(E49,E52)</f>
        <v>2</v>
      </c>
      <c r="F58" s="61">
        <f t="shared" si="6"/>
        <v>1007.5</v>
      </c>
      <c r="G58" s="61">
        <f t="shared" si="6"/>
        <v>1079.9024999999999</v>
      </c>
      <c r="H58" s="61">
        <f t="shared" si="6"/>
        <v>4</v>
      </c>
      <c r="I58" s="61">
        <f t="shared" si="6"/>
        <v>2.2429162620918119</v>
      </c>
      <c r="J58" s="61">
        <f t="shared" si="6"/>
        <v>6.6427111492055122</v>
      </c>
      <c r="K58" s="61">
        <f t="shared" si="6"/>
        <v>0.23614710887747287</v>
      </c>
    </row>
    <row r="59" spans="1:11">
      <c r="A59" s="32" t="s">
        <v>23</v>
      </c>
      <c r="B59" s="99"/>
      <c r="C59" s="100"/>
      <c r="D59" s="100"/>
      <c r="E59" s="61">
        <f t="shared" ref="E59:K59" si="7">GEOMEAN(E49,E52)</f>
        <v>1.4142135623730949</v>
      </c>
      <c r="F59" s="61">
        <f t="shared" si="7"/>
        <v>507.85824793932414</v>
      </c>
      <c r="G59" s="61">
        <f t="shared" si="7"/>
        <v>749.27946168302253</v>
      </c>
      <c r="H59" s="61">
        <f t="shared" si="7"/>
        <v>4</v>
      </c>
      <c r="I59" s="61">
        <f t="shared" si="7"/>
        <v>1.1191129340547159</v>
      </c>
      <c r="J59" s="61">
        <f t="shared" si="7"/>
        <v>2.1673965683559215</v>
      </c>
      <c r="K59" s="61">
        <f t="shared" si="7"/>
        <v>0.16661439122153271</v>
      </c>
    </row>
    <row r="60" spans="1:11">
      <c r="A60" s="36" t="s">
        <v>24</v>
      </c>
      <c r="B60" s="102"/>
      <c r="C60" s="103"/>
      <c r="D60" s="103"/>
      <c r="E60" s="105">
        <f t="shared" ref="E60:K60" si="8">(E55/E54)*100</f>
        <v>47.14045207910317</v>
      </c>
      <c r="F60" s="105">
        <f t="shared" si="8"/>
        <v>84.114087227810131</v>
      </c>
      <c r="G60" s="105">
        <f t="shared" si="8"/>
        <v>49.506193169014331</v>
      </c>
      <c r="H60" s="105">
        <f t="shared" si="8"/>
        <v>0</v>
      </c>
      <c r="I60" s="105">
        <f t="shared" si="8"/>
        <v>85.042048082692403</v>
      </c>
      <c r="J60" s="105">
        <f t="shared" si="8"/>
        <v>114.20717054143164</v>
      </c>
      <c r="K60" s="105">
        <f t="shared" si="8"/>
        <v>47.416712823500468</v>
      </c>
    </row>
    <row r="61" spans="1:11" ht="15.6" thickBot="1">
      <c r="A61" s="44" t="s">
        <v>25</v>
      </c>
      <c r="B61" s="107"/>
      <c r="C61" s="108"/>
      <c r="D61" s="108"/>
      <c r="E61" s="109">
        <f t="shared" ref="E61:K61" si="9">SQRT(EXP((STDEV(LN(E49),LN(E52)))^2)-1)*100</f>
        <v>52.109224683748678</v>
      </c>
      <c r="F61" s="109">
        <f t="shared" si="9"/>
        <v>124.74738832619536</v>
      </c>
      <c r="G61" s="109">
        <f t="shared" si="9"/>
        <v>55.344644464564375</v>
      </c>
      <c r="H61" s="109">
        <f t="shared" si="9"/>
        <v>0</v>
      </c>
      <c r="I61" s="109">
        <f t="shared" si="9"/>
        <v>127.64416596451834</v>
      </c>
      <c r="J61" s="109">
        <f t="shared" si="9"/>
        <v>336.00318191719515</v>
      </c>
      <c r="K61" s="109">
        <f t="shared" si="9"/>
        <v>52.481622021913502</v>
      </c>
    </row>
    <row r="62" spans="1:11">
      <c r="A62" s="50"/>
      <c r="C62" s="111"/>
      <c r="D62" s="111"/>
      <c r="E62" s="123"/>
      <c r="F62" s="123"/>
      <c r="G62" s="123"/>
      <c r="H62" s="112"/>
      <c r="I62" s="112"/>
      <c r="J62" s="112"/>
    </row>
    <row r="63" spans="1:11" ht="15.6" thickBot="1">
      <c r="A63" s="1" t="s">
        <v>31</v>
      </c>
      <c r="C63" s="111"/>
      <c r="D63" s="111"/>
      <c r="E63" s="123"/>
      <c r="F63" s="123"/>
      <c r="G63" s="123"/>
      <c r="H63" s="112"/>
      <c r="I63" s="112"/>
      <c r="J63" s="112"/>
    </row>
    <row r="64" spans="1:11" ht="17.45" thickBot="1">
      <c r="A64" s="2" t="s">
        <v>1</v>
      </c>
      <c r="B64" s="3" t="s">
        <v>2</v>
      </c>
      <c r="C64" s="3" t="s">
        <v>3</v>
      </c>
      <c r="D64" s="3" t="s">
        <v>4</v>
      </c>
      <c r="E64" s="85" t="s">
        <v>5</v>
      </c>
      <c r="F64" s="85" t="s">
        <v>6</v>
      </c>
      <c r="G64" s="85" t="s">
        <v>7</v>
      </c>
      <c r="H64" s="85" t="s">
        <v>8</v>
      </c>
      <c r="I64" s="85" t="s">
        <v>10</v>
      </c>
      <c r="J64" s="85" t="s">
        <v>11</v>
      </c>
      <c r="K64" s="113" t="s">
        <v>12</v>
      </c>
    </row>
    <row r="65" spans="1:11">
      <c r="A65" s="87" t="s">
        <v>32</v>
      </c>
      <c r="B65" s="88">
        <v>1</v>
      </c>
      <c r="C65" s="127">
        <f>[4]WNL_results!D18</f>
        <v>3</v>
      </c>
      <c r="D65" s="88">
        <v>800</v>
      </c>
      <c r="E65" s="128">
        <f>[4]WNL_results!F18</f>
        <v>4</v>
      </c>
      <c r="F65" s="129">
        <f>[4]WNL_results!G18</f>
        <v>540.91</v>
      </c>
      <c r="G65" s="129">
        <f>[4]WNL_results!H18</f>
        <v>1916.5925</v>
      </c>
      <c r="H65" s="128">
        <f>[4]WNL_results!I18</f>
        <v>4</v>
      </c>
      <c r="I65" s="89"/>
      <c r="J65" s="89"/>
      <c r="K65" s="114">
        <f>G65/'[2]PK parameter_nominal (3)'!$G$65</f>
        <v>0.18062555721213924</v>
      </c>
    </row>
    <row r="66" spans="1:11">
      <c r="A66" s="65" t="s">
        <v>33</v>
      </c>
      <c r="B66" s="20">
        <v>1</v>
      </c>
      <c r="C66" s="20">
        <f>[4]WNL_results!D19</f>
        <v>5</v>
      </c>
      <c r="D66" s="20">
        <v>800</v>
      </c>
      <c r="E66" s="61">
        <f>[4]WNL_results!F19</f>
        <v>1</v>
      </c>
      <c r="F66" s="61">
        <f>[4]WNL_results!G19</f>
        <v>636.66999999999996</v>
      </c>
      <c r="G66" s="61">
        <f>[4]WNL_results!H19</f>
        <v>1563.3025</v>
      </c>
      <c r="H66" s="61">
        <f>[4]WNL_results!I19</f>
        <v>4</v>
      </c>
      <c r="I66" s="61"/>
      <c r="J66" s="61"/>
      <c r="K66" s="116">
        <f>G66/'[2]PK parameter_nominal (3)'!$G$66</f>
        <v>0.17976923729288638</v>
      </c>
    </row>
    <row r="67" spans="1:11">
      <c r="A67" s="65" t="s">
        <v>34</v>
      </c>
      <c r="B67" s="20">
        <v>1</v>
      </c>
      <c r="C67" s="20">
        <f>[4]WNL_results!D21</f>
        <v>5</v>
      </c>
      <c r="D67" s="20">
        <v>800</v>
      </c>
      <c r="E67" s="61">
        <f>[4]WNL_results!F21</f>
        <v>1</v>
      </c>
      <c r="F67" s="66">
        <f>[4]WNL_results!G21</f>
        <v>2760</v>
      </c>
      <c r="G67" s="66">
        <f>[4]WNL_results!H21</f>
        <v>5147</v>
      </c>
      <c r="H67" s="61">
        <f>[4]WNL_results!I21</f>
        <v>4</v>
      </c>
      <c r="I67" s="61"/>
      <c r="J67" s="61"/>
      <c r="K67" s="116">
        <f>G67/'[2]PK parameter_nominal (3)'!$G$67</f>
        <v>1.0523716955564539</v>
      </c>
    </row>
    <row r="68" spans="1:11" ht="15.6" thickBot="1">
      <c r="A68" s="68" t="s">
        <v>35</v>
      </c>
      <c r="B68" s="69">
        <v>1</v>
      </c>
      <c r="C68" s="69">
        <f>[4]WNL_results!D23</f>
        <v>5</v>
      </c>
      <c r="D68" s="69">
        <v>800</v>
      </c>
      <c r="E68" s="70">
        <f>[4]WNL_results!F23</f>
        <v>1</v>
      </c>
      <c r="F68" s="71">
        <f>[4]WNL_results!G23</f>
        <v>544.29</v>
      </c>
      <c r="G68" s="71">
        <f>[4]WNL_results!H23</f>
        <v>898.4325</v>
      </c>
      <c r="H68" s="70">
        <f>[4]WNL_results!I23</f>
        <v>4</v>
      </c>
      <c r="I68" s="70"/>
      <c r="J68" s="70"/>
      <c r="K68" s="120">
        <f>G68/'[2]PK parameter_nominal (3)'!$G$68</f>
        <v>9.0234098999817713E-2</v>
      </c>
    </row>
    <row r="69" spans="1:11">
      <c r="A69" s="27" t="s">
        <v>17</v>
      </c>
      <c r="B69" s="96"/>
      <c r="C69" s="97"/>
      <c r="D69" s="97"/>
      <c r="E69" s="90">
        <f>COUNT(E66:E68)</f>
        <v>3</v>
      </c>
      <c r="F69" s="90">
        <f>COUNT(F66:F68)</f>
        <v>3</v>
      </c>
      <c r="G69" s="90">
        <f>COUNT(G66:G68)</f>
        <v>3</v>
      </c>
      <c r="H69" s="90">
        <f>COUNT(H66:H68)</f>
        <v>3</v>
      </c>
      <c r="I69" s="90">
        <f>COUNT(I65:I68)</f>
        <v>0</v>
      </c>
      <c r="J69" s="90">
        <f>COUNT(J65:J68)</f>
        <v>0</v>
      </c>
      <c r="K69" s="90">
        <f>COUNT(K66:K68)</f>
        <v>3</v>
      </c>
    </row>
    <row r="70" spans="1:11">
      <c r="A70" s="32" t="s">
        <v>18</v>
      </c>
      <c r="B70" s="99"/>
      <c r="C70" s="100"/>
      <c r="D70" s="100"/>
      <c r="E70" s="61">
        <f>AVERAGE(E66:E68)</f>
        <v>1</v>
      </c>
      <c r="F70" s="66">
        <f>AVERAGE(F66:F68)</f>
        <v>1313.6533333333334</v>
      </c>
      <c r="G70" s="66">
        <f>AVERAGE(G66:G68)</f>
        <v>2536.2449999999999</v>
      </c>
      <c r="H70" s="61">
        <f>AVERAGE(H66:H68)</f>
        <v>4</v>
      </c>
      <c r="I70" s="61"/>
      <c r="J70" s="61"/>
      <c r="K70" s="61">
        <f>AVERAGE(K66:K68)</f>
        <v>0.44079167728305269</v>
      </c>
    </row>
    <row r="71" spans="1:11">
      <c r="A71" s="32" t="s">
        <v>19</v>
      </c>
      <c r="B71" s="99"/>
      <c r="C71" s="100"/>
      <c r="D71" s="100"/>
      <c r="E71" s="61">
        <f>STDEV(E66:E68)</f>
        <v>0</v>
      </c>
      <c r="F71" s="66">
        <f>STDEV(F66:F68)</f>
        <v>1253.4243201060578</v>
      </c>
      <c r="G71" s="66">
        <f>STDEV(G66:G68)</f>
        <v>2285.2886648613453</v>
      </c>
      <c r="H71" s="61">
        <f>STDEV(H66:H68)</f>
        <v>0</v>
      </c>
      <c r="I71" s="61"/>
      <c r="J71" s="61"/>
      <c r="K71" s="61">
        <f>STDEV(K66:K68)</f>
        <v>0.53153243015902618</v>
      </c>
    </row>
    <row r="72" spans="1:11">
      <c r="A72" s="32" t="s">
        <v>20</v>
      </c>
      <c r="B72" s="99"/>
      <c r="C72" s="100"/>
      <c r="D72" s="100"/>
      <c r="E72" s="61">
        <f>MIN(E66:E68)</f>
        <v>1</v>
      </c>
      <c r="F72" s="66">
        <f>MIN(F66:F68)</f>
        <v>544.29</v>
      </c>
      <c r="G72" s="66">
        <f>MIN(G66:G68)</f>
        <v>898.4325</v>
      </c>
      <c r="H72" s="61">
        <f>MIN(H66:H68)</f>
        <v>4</v>
      </c>
      <c r="I72" s="61"/>
      <c r="J72" s="61"/>
      <c r="K72" s="61">
        <f>MIN(K66:K68)</f>
        <v>9.0234098999817713E-2</v>
      </c>
    </row>
    <row r="73" spans="1:11">
      <c r="A73" s="32" t="s">
        <v>21</v>
      </c>
      <c r="B73" s="99"/>
      <c r="C73" s="100"/>
      <c r="D73" s="100"/>
      <c r="E73" s="61">
        <f>MEDIAN(E66:E68)</f>
        <v>1</v>
      </c>
      <c r="F73" s="66">
        <f>MEDIAN(F66:F68)</f>
        <v>636.66999999999996</v>
      </c>
      <c r="G73" s="66">
        <f>MEDIAN(G66:G68)</f>
        <v>1563.3025</v>
      </c>
      <c r="H73" s="61">
        <f>MEDIAN(H66:H68)</f>
        <v>4</v>
      </c>
      <c r="I73" s="61"/>
      <c r="J73" s="61"/>
      <c r="K73" s="61">
        <f>MEDIAN(K66:K68)</f>
        <v>0.17976923729288638</v>
      </c>
    </row>
    <row r="74" spans="1:11">
      <c r="A74" s="32" t="s">
        <v>22</v>
      </c>
      <c r="B74" s="99"/>
      <c r="C74" s="100"/>
      <c r="D74" s="100"/>
      <c r="E74" s="61">
        <f>MAX(E66:E68)</f>
        <v>1</v>
      </c>
      <c r="F74" s="66">
        <f>MAX(F66:F68)</f>
        <v>2760</v>
      </c>
      <c r="G74" s="66">
        <f>MAX(G66:G68)</f>
        <v>5147</v>
      </c>
      <c r="H74" s="61">
        <f>MAX(H66:H68)</f>
        <v>4</v>
      </c>
      <c r="I74" s="61"/>
      <c r="J74" s="61"/>
      <c r="K74" s="61">
        <f>MAX(K66:K68)</f>
        <v>1.0523716955564539</v>
      </c>
    </row>
    <row r="75" spans="1:11">
      <c r="A75" s="32" t="s">
        <v>23</v>
      </c>
      <c r="B75" s="99"/>
      <c r="C75" s="100"/>
      <c r="D75" s="100"/>
      <c r="E75" s="61">
        <f>GEOMEAN(E66:E68)</f>
        <v>1</v>
      </c>
      <c r="F75" s="66">
        <f>GEOMEAN(F66:F68)</f>
        <v>985.26095981676121</v>
      </c>
      <c r="G75" s="66">
        <f>GEOMEAN(G66:G68)</f>
        <v>1933.5743731642258</v>
      </c>
      <c r="H75" s="61">
        <f>GEOMEAN(H66:H68)</f>
        <v>4</v>
      </c>
      <c r="I75" s="61"/>
      <c r="J75" s="61"/>
      <c r="K75" s="61">
        <f>GEOMEAN(K66:K68)</f>
        <v>0.25748488519735635</v>
      </c>
    </row>
    <row r="76" spans="1:11">
      <c r="A76" s="36" t="s">
        <v>24</v>
      </c>
      <c r="B76" s="102"/>
      <c r="C76" s="103"/>
      <c r="D76" s="103"/>
      <c r="E76" s="105">
        <f>(E71/E70)*100</f>
        <v>0</v>
      </c>
      <c r="F76" s="105">
        <f>(F71/F70)*100</f>
        <v>95.415151646253022</v>
      </c>
      <c r="G76" s="105">
        <f>(G71/G70)*100</f>
        <v>90.105201384777317</v>
      </c>
      <c r="H76" s="105">
        <f>(H71/H70)*100</f>
        <v>0</v>
      </c>
      <c r="I76" s="104"/>
      <c r="J76" s="104"/>
      <c r="K76" s="105">
        <f>(K71/K70)*100</f>
        <v>120.5858589334718</v>
      </c>
    </row>
    <row r="77" spans="1:11" ht="15.6" thickBot="1">
      <c r="A77" s="44" t="s">
        <v>25</v>
      </c>
      <c r="B77" s="107"/>
      <c r="C77" s="108"/>
      <c r="D77" s="108"/>
      <c r="E77" s="109">
        <f>SQRT(EXP((STDEV(LN(E66),LN(E67),LN(E68)))^2)-1)*100</f>
        <v>0</v>
      </c>
      <c r="F77" s="109">
        <f>SQRT(EXP((STDEV(LN(F66),LN(F67),LN(F68)))^2)-1)*100</f>
        <v>110.89936032714233</v>
      </c>
      <c r="G77" s="109">
        <f>SQRT(EXP((STDEV(LN(G66),LN(G67),LN(G68)))^2)-1)*100</f>
        <v>110.26170683953838</v>
      </c>
      <c r="H77" s="109">
        <f>SQRT(EXP((STDEV(LN(H66),LN(H67),LN(H68)))^2)-1)*100</f>
        <v>0</v>
      </c>
      <c r="I77" s="70"/>
      <c r="J77" s="70"/>
      <c r="K77" s="109">
        <f>SQRT(EXP((STDEV(LN(K66),LN(K67),LN(K68)))^2)-1)*100</f>
        <v>199.48110943739289</v>
      </c>
    </row>
    <row r="78" spans="1:11" ht="15.6" thickBot="1"/>
    <row r="79" spans="1:11" ht="17.45" thickBot="1">
      <c r="A79" s="2" t="s">
        <v>1</v>
      </c>
      <c r="B79" s="3" t="s">
        <v>2</v>
      </c>
      <c r="C79" s="3" t="s">
        <v>3</v>
      </c>
      <c r="D79" s="3" t="s">
        <v>4</v>
      </c>
      <c r="E79" s="85" t="s">
        <v>5</v>
      </c>
      <c r="F79" s="85" t="s">
        <v>6</v>
      </c>
      <c r="G79" s="85" t="s">
        <v>7</v>
      </c>
      <c r="H79" s="85" t="s">
        <v>8</v>
      </c>
      <c r="I79" s="85" t="s">
        <v>10</v>
      </c>
      <c r="J79" s="85" t="s">
        <v>11</v>
      </c>
      <c r="K79" s="113" t="s">
        <v>12</v>
      </c>
    </row>
    <row r="80" spans="1:11">
      <c r="A80" s="87" t="s">
        <v>32</v>
      </c>
      <c r="B80" s="88"/>
      <c r="C80" s="88"/>
      <c r="D80" s="88"/>
      <c r="E80" s="89"/>
      <c r="F80" s="90"/>
      <c r="G80" s="90"/>
      <c r="H80" s="89"/>
      <c r="I80" s="89"/>
      <c r="J80" s="89"/>
      <c r="K80" s="124"/>
    </row>
    <row r="81" spans="1:11">
      <c r="A81" s="65" t="s">
        <v>33</v>
      </c>
      <c r="B81" s="20">
        <v>5</v>
      </c>
      <c r="C81" s="14">
        <f>[4]WNL_results!D20</f>
        <v>4</v>
      </c>
      <c r="D81" s="20">
        <v>800</v>
      </c>
      <c r="E81" s="61">
        <f>[4]WNL_results!F20</f>
        <v>1</v>
      </c>
      <c r="F81" s="61">
        <f>[4]WNL_results!G20</f>
        <v>1547.5</v>
      </c>
      <c r="G81" s="92">
        <f>[4]WNL_results!H20</f>
        <v>1936.75</v>
      </c>
      <c r="H81" s="61">
        <f>[4]WNL_results!I20</f>
        <v>4</v>
      </c>
      <c r="I81" s="92">
        <f>G81/G66</f>
        <v>1.2388837093268896</v>
      </c>
      <c r="J81" s="61">
        <f>F81/F66</f>
        <v>2.4306155465154635</v>
      </c>
      <c r="K81" s="115">
        <f>G81/'[2]PK parameter_nominal (3)'!$G$81</f>
        <v>0.23046677330750312</v>
      </c>
    </row>
    <row r="82" spans="1:11">
      <c r="A82" s="65" t="s">
        <v>34</v>
      </c>
      <c r="B82" s="20">
        <v>5</v>
      </c>
      <c r="C82" s="14">
        <f>[4]WNL_results!D22</f>
        <v>4</v>
      </c>
      <c r="D82" s="20">
        <v>800</v>
      </c>
      <c r="E82" s="61">
        <f>[4]WNL_results!F22</f>
        <v>1</v>
      </c>
      <c r="F82" s="61">
        <f>[4]WNL_results!G22</f>
        <v>1783.33</v>
      </c>
      <c r="G82" s="92">
        <f>[4]WNL_results!H22</f>
        <v>1861.6624999999999</v>
      </c>
      <c r="H82" s="92">
        <f>[4]WNL_results!I22</f>
        <v>2</v>
      </c>
      <c r="I82" s="92">
        <f>G82/G67</f>
        <v>0.36169856226928304</v>
      </c>
      <c r="J82" s="61">
        <f>F82/F67</f>
        <v>0.64613405797101442</v>
      </c>
      <c r="K82" s="115">
        <f>G82/'[2]PK parameter_nominal (3)'!$G$82</f>
        <v>0.33848793736292454</v>
      </c>
    </row>
    <row r="83" spans="1:11" ht="15.6" thickBot="1">
      <c r="A83" s="68" t="s">
        <v>35</v>
      </c>
      <c r="B83" s="69">
        <v>5</v>
      </c>
      <c r="C83" s="69">
        <f>[4]WNL_results!D24</f>
        <v>5</v>
      </c>
      <c r="D83" s="69">
        <v>800</v>
      </c>
      <c r="E83" s="70">
        <f>[4]WNL_results!F24</f>
        <v>0.5</v>
      </c>
      <c r="F83" s="70">
        <f>[4]WNL_results!G24</f>
        <v>736.67</v>
      </c>
      <c r="G83" s="70">
        <f>[4]WNL_results!H24</f>
        <v>722.07500000000005</v>
      </c>
      <c r="H83" s="70">
        <f>[4]WNL_results!I24</f>
        <v>4</v>
      </c>
      <c r="I83" s="125">
        <f>G83/G68</f>
        <v>0.80370534236016622</v>
      </c>
      <c r="J83" s="125">
        <f>F83/F68</f>
        <v>1.3534512851604843</v>
      </c>
      <c r="K83" s="126">
        <f>G83/'[2]PK parameter_nominal (3)'!$G$83</f>
        <v>9.7074293780563634E-2</v>
      </c>
    </row>
    <row r="84" spans="1:11">
      <c r="A84" s="27" t="s">
        <v>17</v>
      </c>
      <c r="B84" s="96"/>
      <c r="C84" s="97"/>
      <c r="D84" s="97"/>
      <c r="E84" s="90">
        <f>COUNT(E80:E83)</f>
        <v>3</v>
      </c>
      <c r="F84" s="90">
        <f>COUNT(F80:F83)</f>
        <v>3</v>
      </c>
      <c r="G84" s="90">
        <f>COUNT(G83)</f>
        <v>1</v>
      </c>
      <c r="H84" s="90">
        <f>COUNT(H81,H83)</f>
        <v>2</v>
      </c>
      <c r="I84" s="90">
        <f>COUNT(I83)</f>
        <v>1</v>
      </c>
      <c r="J84" s="90">
        <f>COUNT(J80:J83)</f>
        <v>3</v>
      </c>
      <c r="K84" s="118">
        <f>COUNT(K83)</f>
        <v>1</v>
      </c>
    </row>
    <row r="85" spans="1:11">
      <c r="A85" s="32" t="s">
        <v>18</v>
      </c>
      <c r="B85" s="99"/>
      <c r="C85" s="100"/>
      <c r="D85" s="100"/>
      <c r="E85" s="61">
        <f>AVERAGE(E80:E83)</f>
        <v>0.83333333333333337</v>
      </c>
      <c r="F85" s="66">
        <f>AVERAGE(F80:F83)</f>
        <v>1355.8333333333333</v>
      </c>
      <c r="G85" s="66">
        <f>AVERAGE(G83)</f>
        <v>722.07500000000005</v>
      </c>
      <c r="H85" s="61">
        <f>AVERAGE(H81,H83)</f>
        <v>4</v>
      </c>
      <c r="I85" s="61">
        <f>AVERAGE(I83)</f>
        <v>0.80370534236016622</v>
      </c>
      <c r="J85" s="61">
        <f>AVERAGE(J80:J83)</f>
        <v>1.4767336298823208</v>
      </c>
      <c r="K85" s="116">
        <f>AVERAGE(K83)</f>
        <v>9.7074293780563634E-2</v>
      </c>
    </row>
    <row r="86" spans="1:11">
      <c r="A86" s="32" t="s">
        <v>19</v>
      </c>
      <c r="B86" s="99"/>
      <c r="C86" s="100"/>
      <c r="D86" s="100"/>
      <c r="E86" s="61">
        <f>STDEV(E80:E83)</f>
        <v>0.28867513459481275</v>
      </c>
      <c r="F86" s="66">
        <f>STDEV(F80:F83)</f>
        <v>549.02310719434524</v>
      </c>
      <c r="G86" s="66" t="e">
        <f>STDEV(G83)</f>
        <v>#DIV/0!</v>
      </c>
      <c r="H86" s="61">
        <f>STDEV(H81,H83)</f>
        <v>0</v>
      </c>
      <c r="I86" s="61" t="e">
        <f>STDEV(I83)</f>
        <v>#DIV/0!</v>
      </c>
      <c r="J86" s="61">
        <f>STDEV(J80:J83)</f>
        <v>0.89860583579761899</v>
      </c>
      <c r="K86" s="116" t="e">
        <f>STDEV(K83)</f>
        <v>#DIV/0!</v>
      </c>
    </row>
    <row r="87" spans="1:11">
      <c r="A87" s="32" t="s">
        <v>20</v>
      </c>
      <c r="B87" s="99"/>
      <c r="C87" s="100"/>
      <c r="D87" s="100"/>
      <c r="E87" s="61">
        <f>MIN(E80:E83)</f>
        <v>0.5</v>
      </c>
      <c r="F87" s="66">
        <f>MIN(F80:F83)</f>
        <v>736.67</v>
      </c>
      <c r="G87" s="66">
        <f>MIN(G83)</f>
        <v>722.07500000000005</v>
      </c>
      <c r="H87" s="61">
        <f>MIN(H81,H83)</f>
        <v>4</v>
      </c>
      <c r="I87" s="61">
        <f>MIN(I83)</f>
        <v>0.80370534236016622</v>
      </c>
      <c r="J87" s="61">
        <f>MIN(J80:J83)</f>
        <v>0.64613405797101442</v>
      </c>
      <c r="K87" s="116">
        <f>MIN(K83)</f>
        <v>9.7074293780563634E-2</v>
      </c>
    </row>
    <row r="88" spans="1:11">
      <c r="A88" s="32" t="s">
        <v>21</v>
      </c>
      <c r="B88" s="99"/>
      <c r="C88" s="100"/>
      <c r="D88" s="100"/>
      <c r="E88" s="61">
        <f>MEDIAN(E80:E83)</f>
        <v>1</v>
      </c>
      <c r="F88" s="66">
        <f>MEDIAN(F80:F83)</f>
        <v>1547.5</v>
      </c>
      <c r="G88" s="66">
        <f>MEDIAN(G83)</f>
        <v>722.07500000000005</v>
      </c>
      <c r="H88" s="61">
        <f>MEDIAN(H81,H83)</f>
        <v>4</v>
      </c>
      <c r="I88" s="61">
        <f>MEDIAN(I83)</f>
        <v>0.80370534236016622</v>
      </c>
      <c r="J88" s="61">
        <f>MEDIAN(J80:J83)</f>
        <v>1.3534512851604843</v>
      </c>
      <c r="K88" s="116">
        <f>MEDIAN(K83)</f>
        <v>9.7074293780563634E-2</v>
      </c>
    </row>
    <row r="89" spans="1:11">
      <c r="A89" s="32" t="s">
        <v>22</v>
      </c>
      <c r="B89" s="99"/>
      <c r="C89" s="100"/>
      <c r="D89" s="100"/>
      <c r="E89" s="61">
        <f>MAX(E80:E83)</f>
        <v>1</v>
      </c>
      <c r="F89" s="66">
        <f>MAX(F80:F83)</f>
        <v>1783.33</v>
      </c>
      <c r="G89" s="66">
        <f>MAX(G83)</f>
        <v>722.07500000000005</v>
      </c>
      <c r="H89" s="61">
        <f>MAX(H81,H83)</f>
        <v>4</v>
      </c>
      <c r="I89" s="61">
        <f>MAX(I83)</f>
        <v>0.80370534236016622</v>
      </c>
      <c r="J89" s="61">
        <f>MAX(J80:J83)</f>
        <v>2.4306155465154635</v>
      </c>
      <c r="K89" s="116">
        <f>MAX(K83)</f>
        <v>9.7074293780563634E-2</v>
      </c>
    </row>
    <row r="90" spans="1:11">
      <c r="A90" s="32" t="s">
        <v>23</v>
      </c>
      <c r="B90" s="99"/>
      <c r="C90" s="100"/>
      <c r="D90" s="100"/>
      <c r="E90" s="61">
        <f>GEOMEAN(E80:E83)</f>
        <v>0.79370052598409979</v>
      </c>
      <c r="F90" s="66">
        <f>GEOMEAN(F80:F83)</f>
        <v>1266.8108832720523</v>
      </c>
      <c r="G90" s="66">
        <f>GEOMEAN(G83)</f>
        <v>722.07500000000005</v>
      </c>
      <c r="H90" s="61">
        <f>GEOMEAN(H81,H83)</f>
        <v>4</v>
      </c>
      <c r="I90" s="61">
        <f>GEOMEAN(I83)</f>
        <v>0.80370534236016622</v>
      </c>
      <c r="J90" s="61">
        <f>GEOMEAN(J80:J83)</f>
        <v>1.2857617777808363</v>
      </c>
      <c r="K90" s="116">
        <f>GEOMEAN(K83)</f>
        <v>9.7074293780563634E-2</v>
      </c>
    </row>
    <row r="91" spans="1:11">
      <c r="A91" s="36" t="s">
        <v>24</v>
      </c>
      <c r="B91" s="102"/>
      <c r="C91" s="103"/>
      <c r="D91" s="103"/>
      <c r="E91" s="105">
        <f t="shared" ref="E91:K91" si="10">(E86/E85)*100</f>
        <v>34.641016151377528</v>
      </c>
      <c r="F91" s="105">
        <f t="shared" si="10"/>
        <v>40.493406799828783</v>
      </c>
      <c r="G91" s="105" t="e">
        <f t="shared" si="10"/>
        <v>#DIV/0!</v>
      </c>
      <c r="H91" s="105">
        <f t="shared" si="10"/>
        <v>0</v>
      </c>
      <c r="I91" s="105" t="e">
        <f t="shared" si="10"/>
        <v>#DIV/0!</v>
      </c>
      <c r="J91" s="105">
        <f t="shared" si="10"/>
        <v>60.850908898799027</v>
      </c>
      <c r="K91" s="121" t="e">
        <f t="shared" si="10"/>
        <v>#DIV/0!</v>
      </c>
    </row>
    <row r="92" spans="1:11" ht="15.6" thickBot="1">
      <c r="A92" s="44" t="s">
        <v>25</v>
      </c>
      <c r="B92" s="107"/>
      <c r="C92" s="108"/>
      <c r="D92" s="108"/>
      <c r="E92" s="109">
        <f>SQRT(EXP((STDEV(LN(E81),LN(E82),LN(E83)))^2)-1)*100</f>
        <v>41.675903104530711</v>
      </c>
      <c r="F92" s="109">
        <f>SQRT(EXP((STDEV(LN(F81),LN(F82),LN(F83)))^2)-1)*100</f>
        <v>50.287637097198498</v>
      </c>
      <c r="G92" s="109" t="e">
        <f>SQRT(EXP((STDEV(LN(G83)))^2)-1)*100</f>
        <v>#DIV/0!</v>
      </c>
      <c r="H92" s="109">
        <f>SQRT(EXP((STDEV(LN(H81),LN(H83)))^2)-1)*100</f>
        <v>0</v>
      </c>
      <c r="I92" s="109" t="e">
        <f>SQRT(EXP((STDEV(LN(I83)))^2)-1)*100</f>
        <v>#DIV/0!</v>
      </c>
      <c r="J92" s="109">
        <f>SQRT(EXP((STDEV(LN(J81),LN(J82),LN(J83)))^2)-1)*100</f>
        <v>74.428801887730728</v>
      </c>
      <c r="K92" s="122" t="e">
        <f>SQRT(EXP((STDEV(LN(K83)))^2)-1)*100</f>
        <v>#DIV/0!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40C9-4DDC-4950-BE2B-0119A8992FF2}">
  <dimension ref="A1"/>
  <sheetViews>
    <sheetView workbookViewId="0"/>
  </sheetViews>
  <sheetFormatPr defaultRowHeight="14.8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73c852-e060-4ca6-8f1d-819f0e36d7c5">
      <UserInfo>
        <DisplayName>Reynolds, Helen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379BFE3AD2BC43B33E8117E04D51EF" ma:contentTypeVersion="4" ma:contentTypeDescription="Create a new document." ma:contentTypeScope="" ma:versionID="a35f9b2b71bc44ddd5855d116c752f11">
  <xsd:schema xmlns:xsd="http://www.w3.org/2001/XMLSchema" xmlns:xs="http://www.w3.org/2001/XMLSchema" xmlns:p="http://schemas.microsoft.com/office/2006/metadata/properties" xmlns:ns2="e001097d-4f45-4e82-b051-fe9f6b2fbb35" xmlns:ns3="1f73c852-e060-4ca6-8f1d-819f0e36d7c5" targetNamespace="http://schemas.microsoft.com/office/2006/metadata/properties" ma:root="true" ma:fieldsID="21cb84765ec23c54b54aeda24a0d50bb" ns2:_="" ns3:_="">
    <xsd:import namespace="e001097d-4f45-4e82-b051-fe9f6b2fbb35"/>
    <xsd:import namespace="1f73c852-e060-4ca6-8f1d-819f0e36d7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1097d-4f45-4e82-b051-fe9f6b2fbb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c852-e060-4ca6-8f1d-819f0e36d7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E4474E-F67B-4C02-A3A7-7902A6EE5FFA}"/>
</file>

<file path=customXml/itemProps2.xml><?xml version="1.0" encoding="utf-8"?>
<ds:datastoreItem xmlns:ds="http://schemas.openxmlformats.org/officeDocument/2006/customXml" ds:itemID="{5571B880-7938-49B3-9CEB-7462E14A206E}"/>
</file>

<file path=customXml/itemProps3.xml><?xml version="1.0" encoding="utf-8"?>
<ds:datastoreItem xmlns:ds="http://schemas.openxmlformats.org/officeDocument/2006/customXml" ds:itemID="{84179F2E-84F8-492B-8CD2-20DF62E47B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Dickinson, Laura</dc:creator>
  <cp:keywords/>
  <dc:description/>
  <cp:lastModifiedBy>Reynolds, Helen</cp:lastModifiedBy>
  <cp:revision/>
  <dcterms:created xsi:type="dcterms:W3CDTF">2023-01-10T11:18:01Z</dcterms:created>
  <dcterms:modified xsi:type="dcterms:W3CDTF">2023-03-06T13:46:39Z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0x010100C2379BFE3AD2BC43B33E8117E04D51EF</vt:lpwstr>
  </property>
</Properties>
</file>