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oL-1028847\Dropbox\ZooLinK\RBT project\DALY averted paper\revision1\to Laura 180920\"/>
    </mc:Choice>
  </mc:AlternateContent>
  <bookViews>
    <workbookView xWindow="0" yWindow="0" windowWidth="9270" windowHeight="6990" firstSheet="4" activeTab="4"/>
  </bookViews>
  <sheets>
    <sheet name="RiskSerializationData" sheetId="3" state="hidden" r:id="rId1"/>
    <sheet name="senseInfo" sheetId="16" state="hidden" r:id="rId2"/>
    <sheet name="_@RISKFitInformation" sheetId="19" state="hidden" r:id="rId3"/>
    <sheet name="RiskSwappedFuncs" sheetId="21" state="hidden" r:id="rId4"/>
    <sheet name="Model" sheetId="1" r:id="rId5"/>
    <sheet name="Sheet1" sheetId="18" r:id="rId6"/>
    <sheet name="Sheet2" sheetId="20" r:id="rId7"/>
  </sheets>
  <definedNames>
    <definedName name="_AtRisk_FitDataRange_FIT_4928B_84C5" hidden="1">Sheet1!$D$2:$D$9</definedName>
    <definedName name="_AtRisk_FitDataRange_FIT_9CF23_DA654" hidden="1">Sheet1!$B$2:$B$10</definedName>
    <definedName name="_AtRisk_FitDataRange_FIT_A1545_71468" hidden="1">Sheet1!$C$2:$C$10</definedName>
    <definedName name="_AtRisk_FitDataRange_FIT_F366C_56861" hidden="1">Sheet1!$C$2:$C$10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6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6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"4AIQMMWKAGNJE4IR6B5CVR9W"</definedName>
    <definedName name="PalisadeReportWorkbookCreatedBy">"AtRisk"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-1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"$D$53"</definedName>
    <definedName name="RiskSelectedNameCell1" hidden="1">"$A$53"</definedName>
    <definedName name="RiskSelectedNameCell2" hidden="1">"$D$1"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9" l="1"/>
  <c r="C12" i="19"/>
  <c r="C13" i="19"/>
  <c r="C14" i="19"/>
  <c r="C2" i="21"/>
  <c r="K2" i="21"/>
  <c r="S2" i="21"/>
  <c r="B18" i="1"/>
  <c r="Y2" i="21" s="1"/>
  <c r="B17" i="1"/>
  <c r="W2" i="21" s="1"/>
  <c r="B15" i="1"/>
  <c r="U2" i="21" s="1"/>
  <c r="B14" i="1"/>
  <c r="B13" i="1"/>
  <c r="Q2" i="21" s="1"/>
  <c r="B12" i="1"/>
  <c r="O2" i="21" s="1"/>
  <c r="B9" i="1"/>
  <c r="M2" i="21" s="1"/>
  <c r="B8" i="1"/>
  <c r="B5" i="1"/>
  <c r="I2" i="21" s="1"/>
  <c r="D3" i="1"/>
  <c r="D30" i="1" s="1"/>
  <c r="AK2" i="21" s="1"/>
  <c r="C3" i="1"/>
  <c r="E2" i="21" s="1"/>
  <c r="B3" i="1"/>
  <c r="B2" i="1"/>
  <c r="A2" i="21" s="1"/>
  <c r="B11" i="1"/>
  <c r="AV2" i="21" s="1"/>
  <c r="D35" i="1"/>
  <c r="B7" i="1"/>
  <c r="B10" i="1"/>
  <c r="AJ2" i="21" s="1"/>
  <c r="C4" i="1"/>
  <c r="B4" i="1"/>
  <c r="AN2" i="21" s="1"/>
  <c r="D5" i="20"/>
  <c r="C5" i="20"/>
  <c r="B5" i="20"/>
  <c r="D12" i="18"/>
  <c r="C12" i="18"/>
  <c r="B12" i="18"/>
  <c r="AN4" i="3"/>
  <c r="AN3" i="3"/>
  <c r="D2" i="21"/>
  <c r="X2" i="21"/>
  <c r="B2" i="21"/>
  <c r="F2" i="21"/>
  <c r="J2" i="21"/>
  <c r="N2" i="21"/>
  <c r="R2" i="21"/>
  <c r="V2" i="21"/>
  <c r="Z2" i="21"/>
  <c r="H2" i="21"/>
  <c r="L2" i="21"/>
  <c r="P2" i="21"/>
  <c r="T2" i="21"/>
  <c r="B32" i="1" l="1"/>
  <c r="C32" i="1"/>
  <c r="C30" i="1"/>
  <c r="AI2" i="21" s="1"/>
  <c r="AT2" i="21"/>
  <c r="AP2" i="21"/>
  <c r="AL2" i="21"/>
  <c r="AH2" i="21"/>
  <c r="C33" i="1"/>
  <c r="D4" i="1"/>
  <c r="B30" i="1"/>
  <c r="AG2" i="21" s="1"/>
  <c r="G2" i="21"/>
  <c r="B6" i="1"/>
  <c r="AB2" i="21" s="1"/>
  <c r="D36" i="1"/>
  <c r="B33" i="1"/>
  <c r="E5" i="16"/>
  <c r="B35" i="1"/>
  <c r="B19" i="1"/>
  <c r="B36" i="1"/>
  <c r="D20" i="1"/>
  <c r="C20" i="1"/>
  <c r="C36" i="1"/>
  <c r="B20" i="1"/>
  <c r="C35" i="1"/>
  <c r="AS2" i="21" l="1"/>
  <c r="B42" i="1"/>
  <c r="BE2" i="21" s="1"/>
  <c r="BF2" i="21"/>
  <c r="AU2" i="21"/>
  <c r="BH2" i="21"/>
  <c r="C42" i="1"/>
  <c r="BG2" i="21" s="1"/>
  <c r="B29" i="1"/>
  <c r="AA2" i="21" s="1"/>
  <c r="C29" i="1"/>
  <c r="AC2" i="21" s="1"/>
  <c r="D29" i="1"/>
  <c r="AE2" i="21" s="1"/>
  <c r="AO2" i="21"/>
  <c r="C41" i="1"/>
  <c r="BA2" i="21" s="1"/>
  <c r="BB2" i="21"/>
  <c r="AF2" i="21"/>
  <c r="D33" i="1"/>
  <c r="AX2" i="21"/>
  <c r="D32" i="1"/>
  <c r="AR2" i="21"/>
  <c r="AD2" i="21"/>
  <c r="AM2" i="21"/>
  <c r="B41" i="1"/>
  <c r="AY2" i="21" s="1"/>
  <c r="AZ2" i="21"/>
  <c r="D24" i="1"/>
  <c r="D21" i="1"/>
  <c r="D23" i="1"/>
  <c r="B23" i="1"/>
  <c r="B21" i="1"/>
  <c r="B24" i="1"/>
  <c r="C21" i="1"/>
  <c r="C23" i="1"/>
  <c r="C24" i="1"/>
  <c r="AQ2" i="21" l="1"/>
  <c r="BD2" i="21"/>
  <c r="D41" i="1"/>
  <c r="BC2" i="21" s="1"/>
  <c r="AW2" i="21"/>
  <c r="D42" i="1"/>
  <c r="BI2" i="21" s="1"/>
  <c r="BJ2" i="21"/>
  <c r="D26" i="1"/>
  <c r="D38" i="1"/>
  <c r="D39" i="1"/>
  <c r="D45" i="1" s="1"/>
  <c r="D27" i="1"/>
  <c r="C38" i="1"/>
  <c r="C26" i="1"/>
  <c r="B39" i="1"/>
  <c r="B27" i="1"/>
  <c r="C39" i="1"/>
  <c r="C27" i="1"/>
  <c r="B26" i="1"/>
  <c r="B38" i="1"/>
  <c r="D51" i="1" l="1"/>
  <c r="BU2" i="21" s="1"/>
  <c r="BV2" i="21"/>
  <c r="D48" i="1"/>
  <c r="D44" i="1"/>
  <c r="B48" i="1"/>
  <c r="B45" i="1"/>
  <c r="C45" i="1"/>
  <c r="C48" i="1"/>
  <c r="C47" i="1"/>
  <c r="C44" i="1"/>
  <c r="B47" i="1"/>
  <c r="B44" i="1"/>
  <c r="B50" i="1" l="1"/>
  <c r="BK2" i="21" s="1"/>
  <c r="BL2" i="21"/>
  <c r="BP2" i="21"/>
  <c r="D50" i="1"/>
  <c r="BO2" i="21" s="1"/>
  <c r="BT2" i="21"/>
  <c r="C51" i="1"/>
  <c r="BS2" i="21" s="1"/>
  <c r="BN2" i="21"/>
  <c r="C50" i="1"/>
  <c r="BM2" i="21" s="1"/>
  <c r="B51" i="1"/>
  <c r="BQ2" i="21" s="1"/>
  <c r="BR2" i="21"/>
  <c r="D47" i="1"/>
  <c r="A3" i="3"/>
  <c r="AG3" i="3"/>
  <c r="E2" i="16"/>
  <c r="AG4" i="3"/>
  <c r="A4" i="3"/>
</calcChain>
</file>

<file path=xl/comments1.xml><?xml version="1.0" encoding="utf-8"?>
<comments xmlns="http://schemas.openxmlformats.org/spreadsheetml/2006/main">
  <authors>
    <author>Windows User</author>
  </authors>
  <commentList>
    <comment ref="B2" authorId="0" shapeId="0">
      <text/>
    </comment>
    <comment ref="B3" authorId="0" shapeId="0">
      <text/>
    </comment>
    <comment ref="C3" authorId="0" shapeId="0">
      <text/>
    </comment>
    <comment ref="D3" authorId="0" shapeId="0">
      <text/>
    </comment>
    <comment ref="B5" authorId="0" shapeId="0">
      <text/>
    </comment>
    <comment ref="B8" authorId="0" shapeId="0">
      <text/>
    </comment>
    <comment ref="B9" authorId="0" shapeId="0">
      <text/>
    </comment>
    <comment ref="B12" authorId="0" shapeId="0">
      <text/>
    </comment>
    <comment ref="B13" authorId="0" shapeId="0">
      <text/>
    </comment>
    <comment ref="B14" authorId="0" shapeId="0">
      <text/>
    </comment>
    <comment ref="B15" authorId="0" shapeId="0">
      <text/>
    </comment>
    <comment ref="B17" authorId="0" shapeId="0">
      <text/>
    </comment>
    <comment ref="B18" authorId="0" shapeId="0">
      <text/>
    </comment>
    <comment ref="B29" authorId="0" shapeId="0">
      <text/>
    </comment>
    <comment ref="C29" authorId="0" shapeId="0">
      <text/>
    </comment>
    <comment ref="D29" authorId="0" shapeId="0">
      <text/>
    </comment>
    <comment ref="B30" authorId="0" shapeId="0">
      <text/>
    </comment>
    <comment ref="C30" authorId="0" shapeId="0">
      <text/>
    </comment>
    <comment ref="D30" authorId="0" shapeId="0">
      <text/>
    </comment>
    <comment ref="B32" authorId="0" shapeId="0">
      <text/>
    </comment>
    <comment ref="C32" authorId="0" shapeId="0">
      <text/>
    </comment>
    <comment ref="D32" authorId="0" shapeId="0">
      <text/>
    </comment>
    <comment ref="B33" authorId="0" shapeId="0">
      <text/>
    </comment>
    <comment ref="C33" authorId="0" shapeId="0">
      <text/>
    </comment>
    <comment ref="D33" authorId="0" shapeId="0">
      <text/>
    </comment>
    <comment ref="B41" authorId="0" shapeId="0">
      <text/>
    </comment>
    <comment ref="C41" authorId="0" shapeId="0">
      <text/>
    </comment>
    <comment ref="D41" authorId="0" shapeId="0">
      <text/>
    </comment>
    <comment ref="B42" authorId="0" shapeId="0">
      <text/>
    </comment>
    <comment ref="C42" authorId="0" shapeId="0">
      <text/>
    </comment>
    <comment ref="D42" authorId="0" shapeId="0">
      <text/>
    </comment>
    <comment ref="B50" authorId="0" shapeId="0">
      <text/>
    </comment>
    <comment ref="C50" authorId="0" shapeId="0">
      <text/>
    </comment>
    <comment ref="D50" authorId="0" shapeId="0">
      <text/>
    </comment>
    <comment ref="B51" authorId="0" shapeId="0">
      <text/>
    </comment>
    <comment ref="C51" authorId="0" shapeId="0">
      <text/>
    </comment>
    <comment ref="D51" authorId="0" shapeId="0">
      <text/>
    </comment>
    <comment ref="D53" authorId="0" shapeId="0">
      <text/>
    </comment>
  </commentList>
</comments>
</file>

<file path=xl/sharedStrings.xml><?xml version="1.0" encoding="utf-8"?>
<sst xmlns="http://schemas.openxmlformats.org/spreadsheetml/2006/main" count="208" uniqueCount="135">
  <si>
    <t>Number of patients tested per year</t>
  </si>
  <si>
    <t>P(brucellosis)</t>
  </si>
  <si>
    <t>P(true positive RBT)</t>
  </si>
  <si>
    <t>P(true positive FBAT)</t>
  </si>
  <si>
    <t>P(false negative FBAT)</t>
  </si>
  <si>
    <t>P(false positive FBAT)</t>
  </si>
  <si>
    <t>P(true negative FBAT)</t>
  </si>
  <si>
    <t>P(false negative RBT)</t>
  </si>
  <si>
    <t>P(false positive RBT)</t>
  </si>
  <si>
    <t>P(true negative RBT)</t>
  </si>
  <si>
    <t>Cost Dx RBT</t>
  </si>
  <si>
    <t>Cost Dx FBAT</t>
  </si>
  <si>
    <t>Cost Tx</t>
  </si>
  <si>
    <t>FBAT</t>
  </si>
  <si>
    <t>RBT</t>
  </si>
  <si>
    <t>P(not brucellosis)</t>
  </si>
  <si>
    <t>&gt;75%</t>
  </si>
  <si>
    <t>&lt;25%</t>
  </si>
  <si>
    <t>&gt;90%</t>
  </si>
  <si>
    <t>Ijara</t>
  </si>
  <si>
    <t>DALYs/untreated case</t>
  </si>
  <si>
    <t>DW</t>
  </si>
  <si>
    <t>Duration (untreated)</t>
  </si>
  <si>
    <t>DALY/case</t>
  </si>
  <si>
    <t>Number of true cases treated /yr</t>
  </si>
  <si>
    <t>number true cases per year</t>
  </si>
  <si>
    <t>DALYs/yr (if all untreated)</t>
  </si>
  <si>
    <t>Number of false positive cases treated /yr</t>
  </si>
  <si>
    <t>Cost testing all patients</t>
  </si>
  <si>
    <t>Cost treating true positives/yr</t>
  </si>
  <si>
    <t>Cost treating false positives/yr</t>
  </si>
  <si>
    <t>$/true case treated</t>
  </si>
  <si>
    <t>Total cost/yr</t>
  </si>
  <si>
    <t>$/DALY averted</t>
  </si>
  <si>
    <t>DALYs Averted</t>
  </si>
  <si>
    <t>Number of cases missed (false negatives)</t>
  </si>
  <si>
    <t>Western Kenya</t>
  </si>
  <si>
    <t>national</t>
  </si>
  <si>
    <t>Wider Se/SP FBAT</t>
  </si>
  <si>
    <t xml:space="preserve">senseTotal: </t>
  </si>
  <si>
    <t>.</t>
  </si>
  <si>
    <t>selectionIndex</t>
  </si>
  <si>
    <t>formulaIndex</t>
  </si>
  <si>
    <t>cellAddress</t>
  </si>
  <si>
    <t>rangeAddress</t>
  </si>
  <si>
    <t>bookName</t>
  </si>
  <si>
    <t>sheetName</t>
  </si>
  <si>
    <t>ioIndex</t>
  </si>
  <si>
    <t>checkSelected</t>
  </si>
  <si>
    <t>baseValue</t>
  </si>
  <si>
    <t>useCellBase</t>
  </si>
  <si>
    <t>minPercent</t>
  </si>
  <si>
    <t>maxPercent</t>
  </si>
  <si>
    <t>minValue</t>
  </si>
  <si>
    <t>maxValue</t>
  </si>
  <si>
    <t>numIntervals</t>
  </si>
  <si>
    <t>intIndex</t>
  </si>
  <si>
    <t>varyWhenStepping</t>
  </si>
  <si>
    <t>intervalMode</t>
  </si>
  <si>
    <t>tableRange</t>
  </si>
  <si>
    <t>analysisString</t>
  </si>
  <si>
    <t>isInput</t>
  </si>
  <si>
    <t>groupIndex</t>
  </si>
  <si>
    <t>groupCount</t>
  </si>
  <si>
    <t>B5</t>
  </si>
  <si>
    <t>Model</t>
  </si>
  <si>
    <t>P(true positive FBAT) / Western Kenya</t>
  </si>
  <si>
    <t>=RiskBeta(13.585,22.4285,RiskTruncate(0,1),RiskStatic(0.37))</t>
  </si>
  <si>
    <t>RiskBeta(13.585,22.4285,RiskTruncate(0,1),RiskStatic(0.37))</t>
  </si>
  <si>
    <t>0.37</t>
  </si>
  <si>
    <t/>
  </si>
  <si>
    <t>'[RBT_FBAT_CEA_National_LFT120920.xlsx]Model'!$F$5:$F$12</t>
  </si>
  <si>
    <t>Range: $F$5:$F$12</t>
  </si>
  <si>
    <t>0.1</t>
  </si>
  <si>
    <t>0.2</t>
  </si>
  <si>
    <t>0.3</t>
  </si>
  <si>
    <t>0.4</t>
  </si>
  <si>
    <t>0.5</t>
  </si>
  <si>
    <t>0.6</t>
  </si>
  <si>
    <t>0.7</t>
  </si>
  <si>
    <t>0.8</t>
  </si>
  <si>
    <t>GF1_rK0qDwEAEADeAAwjACYAOwBcAHAAcQB/AI0AuADaANQAKgD//wAAAAAAAQQAAAAAB0dlbmVyYWwAAAABGyQvREFMWSBhdmVydGVkIC1GQkFUIC1CdXNpYQEAAQEQAAIAAQpTdGF0aXN0aWNzAwEBAP8BAQEBAQABAQEABAAAAAEBAQEBAAEBAQAEAAAAAZEAAiMAGyQvREFMWSBhdmVydGVkIC1GQkFUIC1CdXNpYQAALwEAAgACAMAAygABAQIBmpmZmZmZmT8AADMzMzMzM+8/AAAFAAEBAQABAQEA</t>
  </si>
  <si>
    <t>GF1_rK0qDwEAEADvAAwjACYAOwBaAG4AbwB9AKAAyQDrAOUAKgD//wAAAAAAAQQAAAAAB0dlbmVyYWwAAAABGSQvREFMWSBhdmVydGVkIFJCVCAtQnVzaWEBAAEBEAACAAEKU3RhdGlzdGljcwMBAQD/AQEBAQEAAQEBAAQAAAABAQEBAQABAAAAAAAAAAAAN1SM8zehUD8BBgAAAAEABAAAAAGkAAIhABkkL0RBTFkgYXZlcnRlZCBSQlQgLUJ1c2lhAAAvAQACAAIA0QDbAAEBAgGamZmZmZmZPwAAMzMzMzMz7z8AAAUAAQEBAAEBAQA=</t>
  </si>
  <si>
    <t>hospital</t>
  </si>
  <si>
    <t>running time</t>
  </si>
  <si>
    <t>cost treatment</t>
  </si>
  <si>
    <t>B</t>
  </si>
  <si>
    <t>C</t>
  </si>
  <si>
    <t>D</t>
  </si>
  <si>
    <t>F</t>
  </si>
  <si>
    <t>G</t>
  </si>
  <si>
    <t>H</t>
  </si>
  <si>
    <t>I</t>
  </si>
  <si>
    <t>mean</t>
  </si>
  <si>
    <t>mode</t>
  </si>
  <si>
    <t>95% CI</t>
  </si>
  <si>
    <t>fitted distribution</t>
  </si>
  <si>
    <t>cost FBAT</t>
  </si>
  <si>
    <t>Created By Version</t>
  </si>
  <si>
    <t>7.5.2</t>
  </si>
  <si>
    <t>Required Version</t>
  </si>
  <si>
    <t>5.0.0</t>
  </si>
  <si>
    <t>Recommended Version</t>
  </si>
  <si>
    <t>Modified By Version</t>
  </si>
  <si>
    <t>Count</t>
  </si>
  <si>
    <t>GUID</t>
  </si>
  <si>
    <t>Name</t>
  </si>
  <si>
    <t>Range</t>
  </si>
  <si>
    <t>CRC</t>
  </si>
  <si>
    <t>Options</t>
  </si>
  <si>
    <t>Comp. Graph Serialization</t>
  </si>
  <si>
    <t>PP Graph Serialization</t>
  </si>
  <si>
    <t>QQ Graph Serialization</t>
  </si>
  <si>
    <t>Unsued</t>
  </si>
  <si>
    <t>Fixed Params</t>
  </si>
  <si>
    <t>Bootstrap Options</t>
  </si>
  <si>
    <t>BootstrapParamGraphSerialization</t>
  </si>
  <si>
    <t>BatchFit Options</t>
  </si>
  <si>
    <t>BootstrapGOFGraphSerialization</t>
  </si>
  <si>
    <t>FitSelector</t>
  </si>
  <si>
    <t>FIT_9CF23_DA654</t>
  </si>
  <si>
    <t>F1	0	0	-1E+300	 1E+300	 1	0	0	 0	0	 1	25	BetaGeneral	Binomial	Expon	ExtValue	ExtValueMin	Gamma	Geomet	IntUniform	InvGauss	Kumaraswamy	Laplace	Levy	Logistic	LogLogistic	Lognorm	NegBin	Normal	Pareto	Pearson5	Pearson6	Poisson	Reciprocal	Triang	Uniform	Weibull	0	1	-1	1	 0	 1	0	0	0</t>
  </si>
  <si>
    <t xml:space="preserve"> 0	 8								</t>
  </si>
  <si>
    <t>F1	0	 1000	 .95</t>
  </si>
  <si>
    <t>GF1_rK0qDwEAEACzAQwjACYANABuAIIAgwCRAJ8AjQGvAakBKgD//wAAAAAAAQQAAAAAAAAAAAEfRml0IENvbXBhcmlzb24gZm9yIHJ1bm5pbmcgdGltZQEVUmlza1BhcmV0bygxLjM5MzksMTUpAQEQAAIAAQpTdGF0aXN0aWNzAwEBAP8BAQEBAQABAQEABAAAAAEBAQEBAAEBAQAEAAAACr4AAc0AAN0AAPMAAAkBAB8BADUBAEsBAGEBAHcBAA0ABUlucHV0AAAlAQECAA4ABlBhcmV0bwABLwEAAgAUAAxVbnVzZWQgQ3VydmUAAk8BAAIAFAAMVW51c2VkIEN1cnZlAAOMAQACABQADFVudXNlZCBDdXJ2ZQAETAEAAgAUAAxVbnVzZWQgQ3VydmUABTkBAAIAFAAMVW51c2VkIEN1cnZlAAZOAQACABQADFVudXNlZCBDdXJ2ZQAHIwEAAgAUAAxVbnVzZWQgQ3VydmUACCkBAAIAFAAMVW51c2VkIEN1cnZlAAlgAQACAJUBnwEBAQIBmpmZmZmZqT8AAGZmZmZmZu4/AAAFAAEBAQABAQEA</t>
  </si>
  <si>
    <t>FIT_A1545_71468</t>
  </si>
  <si>
    <t>GF1_rK0qDwEAEACxAQwjACYANABsAIAAgQCPAJ0AiwGtAacBKgD//wAAAAAAAQQAAAAAAAAAAAEcRml0IENvbXBhcmlzb24gZm9yIGNvc3QgRkJBVAEWUmlza1BhcmV0byg1LjUxODMsMTUwKQEBEAACAAEKU3RhdGlzdGljcwMBAQD/AQEBAQEAAQEBAAQAAAABAQEBAQABAQEABAAAAAq8AAHLAADbAADxAAAHAQAdAQAzAQBJAQBfAQB1AQANAAVJbnB1dAAAJQEBAgAOAAZQYXJldG8AAS8BAAIAFAAMVW51c2VkIEN1cnZlAAJPAQACABQADFVudXNlZCBDdXJ2ZQADjAEAAgAUAAxVbnVzZWQgQ3VydmUABEwBAAIAFAAMVW51c2VkIEN1cnZlAAU5AQACABQADFVudXNlZCBDdXJ2ZQAGTgEAAgAUAAxVbnVzZWQgQ3VydmUAByMBAAIAFAAMVW51c2VkIEN1cnZlAAgpAQACABQADFVudXNlZCBDdXJ2ZQAJYAEAAgCTAZ0BAQECAZqZmZmZmak/AABmZmZmZmbuPwAABQABAQEAAQEBAA==</t>
  </si>
  <si>
    <t>FIT_4928B_84C5</t>
  </si>
  <si>
    <t>GF1_rK0qDwEAEADCAQwjACYANAB+AJIAkwChAK8AnAG+AbgBKgD//wAAAAAAAQQAAAAAAAAAAAEhRml0IENvbXBhcmlzb24gZm9yIGNvc3QgdHJlYXRtZW50ASNSaXNrRXhwb24oMTIuODM3LFJpc2tTaGlmdCgxLjY5NTMpKQEBEAACAAEKU3RhdGlzdGljcwMBAQD/AQEBAQEAAQEBAAQAAAABAQEBAQABAQEABAAAAArOAAHdAADsAAACAQAYAQAuAQBEAQBaAQBwAQCGAQANAAVJbnB1dAAAJQEBAgANAAVFeHBvbgABLwEAAgAUAAxVbnVzZWQgQ3VydmUAAk8BAAIAFAAMVW51c2VkIEN1cnZlAAOMAQACABQADFVudXNlZCBDdXJ2ZQAETAEAAgAUAAxVbnVzZWQgQ3VydmUABTkBAAIAFAAMVW51c2VkIEN1cnZlAAZOAQACABQADFVudXNlZCBDdXJ2ZQAHIwEAAgAUAAxVbnVzZWQgQ3VydmUACCkBAAIAFAAMVW51c2VkIEN1cnZlAAlgAQACAKQBrgEBAQIBmpmZmZmZqT8AAGZmZmZmZu4/AAAFAAEBAQABAQEA</t>
  </si>
  <si>
    <t>FIT_F366C_56861</t>
  </si>
  <si>
    <t>cost FBAT 2</t>
  </si>
  <si>
    <t>GF1_rK0qDwEAEAC2AQwjACYANABxAIUAhgCUAKIAkAGyAawBKgD//wAAAAAAAQQAAAAAAAAAAAEeRml0IENvbXBhcmlzb24gZm9yIGNvc3QgRkJBVCAyARlSaXNrUGFyZXRvKDUuNTE4MywxLjUwMDApAQEQAAIAAQpTdGF0aXN0aWNzAwEBAP8BAQEBAQABAQEABAAAAAEBAQEBAAEBAQAEAAAACsEAAdAAAOAAAPYAAAwBACIBADgBAE4BAGQBAHoBAA0ABUlucHV0AAAlAQECAA4ABlBhcmV0bwABLwEAAgAUAAxVbnVzZWQgQ3VydmUAAk8BAAIAFAAMVW51c2VkIEN1cnZlAAOMAQACABQADFVudXNlZCBDdXJ2ZQAETAEAAgAUAAxVbnVzZWQgQ3VydmUABTkBAAIAFAAMVW51c2VkIEN1cnZlAAZOAQACABQADFVudXNlZCBDdXJ2ZQAHIwEAAgAUAAxVbnVzZWQgQ3VydmUACCkBAAIAFAAMVW51c2VkIEN1cnZlAAlgAQACAJgBogEBAQIBmpmZmZmZqT8AAGZmZmZmZu4/AAAFAAEBAQABAQEA</t>
  </si>
  <si>
    <t>difference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</si>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</sst>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quotePrefix="1"/>
    <xf numFmtId="9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88"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8" Type="http://schemas.openxmlformats.org/officeDocument/2006/relationships/image" Target="../media/image8.emf"/><Relationship Id="rId3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3</xdr:row>
      <xdr:rowOff>171450</xdr:rowOff>
    </xdr:from>
    <xdr:to>
      <xdr:col>15</xdr:col>
      <xdr:colOff>209550</xdr:colOff>
      <xdr:row>12</xdr:row>
      <xdr:rowOff>57150</xdr:rowOff>
    </xdr:to>
    <xdr:sp macro="" textlink="">
      <xdr:nvSpPr>
        <xdr:cNvPr id="2" name="TextBox 1"/>
        <xdr:cNvSpPr txBox="1"/>
      </xdr:nvSpPr>
      <xdr:spPr>
        <a:xfrm>
          <a:off x="7229475" y="742950"/>
          <a:ext cx="4257675" cy="160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Hover over the inputs</a:t>
          </a:r>
          <a:r>
            <a:rPr lang="en-GB" sz="1100" baseline="0"/>
            <a:t> and outputs to see the underlying distrubtions</a:t>
          </a:r>
        </a:p>
        <a:p>
          <a:endParaRPr lang="en-GB" sz="1100" baseline="0"/>
        </a:p>
        <a:p>
          <a:r>
            <a:rPr lang="en-GB" sz="1100" baseline="0"/>
            <a:t>Outputs after 1500 iterations run on 15th April 2020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workbookViewId="0"/>
  </sheetViews>
  <sheetFormatPr defaultRowHeight="15" x14ac:dyDescent="0.25"/>
  <sheetData>
    <row r="1" spans="1:40" x14ac:dyDescent="0.25">
      <c r="A1">
        <v>2</v>
      </c>
      <c r="B1">
        <v>0</v>
      </c>
    </row>
    <row r="2" spans="1:40" x14ac:dyDescent="0.25">
      <c r="A2">
        <v>0</v>
      </c>
    </row>
    <row r="3" spans="1:40" x14ac:dyDescent="0.25">
      <c r="A3">
        <f>Model!$B$50</f>
        <v>2540.8270862862869</v>
      </c>
      <c r="B3" t="b">
        <v>1</v>
      </c>
      <c r="C3">
        <v>0</v>
      </c>
      <c r="D3">
        <v>1</v>
      </c>
      <c r="E3" t="s">
        <v>81</v>
      </c>
      <c r="F3">
        <v>1</v>
      </c>
      <c r="G3">
        <v>0</v>
      </c>
      <c r="H3">
        <v>0</v>
      </c>
      <c r="J3" t="s">
        <v>16</v>
      </c>
      <c r="K3" t="s">
        <v>17</v>
      </c>
      <c r="L3" t="s">
        <v>18</v>
      </c>
      <c r="AG3">
        <f>Model!$B$50</f>
        <v>2540.8270862862869</v>
      </c>
      <c r="AH3">
        <v>19</v>
      </c>
      <c r="AI3">
        <v>1</v>
      </c>
      <c r="AJ3" t="b">
        <v>0</v>
      </c>
      <c r="AK3" t="b">
        <v>1</v>
      </c>
      <c r="AL3">
        <v>0</v>
      </c>
      <c r="AM3" t="b">
        <v>0</v>
      </c>
      <c r="AN3" t="e">
        <f>_</f>
        <v>#NAME?</v>
      </c>
    </row>
    <row r="4" spans="1:40" x14ac:dyDescent="0.25">
      <c r="A4">
        <f>Model!$B$51</f>
        <v>455.84182370370377</v>
      </c>
      <c r="B4" t="b">
        <v>1</v>
      </c>
      <c r="C4">
        <v>0</v>
      </c>
      <c r="D4">
        <v>1</v>
      </c>
      <c r="E4" t="s">
        <v>82</v>
      </c>
      <c r="F4">
        <v>1</v>
      </c>
      <c r="G4">
        <v>0</v>
      </c>
      <c r="H4">
        <v>0</v>
      </c>
      <c r="J4" t="s">
        <v>16</v>
      </c>
      <c r="K4" t="s">
        <v>17</v>
      </c>
      <c r="L4" t="s">
        <v>18</v>
      </c>
      <c r="AG4">
        <f>Model!$B$51</f>
        <v>455.84182370370377</v>
      </c>
      <c r="AH4">
        <v>22</v>
      </c>
      <c r="AI4">
        <v>1</v>
      </c>
      <c r="AJ4" t="b">
        <v>0</v>
      </c>
      <c r="AK4" t="b">
        <v>1</v>
      </c>
      <c r="AL4">
        <v>0</v>
      </c>
      <c r="AM4" t="b">
        <v>0</v>
      </c>
      <c r="AN4" t="e">
        <f>_</f>
        <v>#NAME?</v>
      </c>
    </row>
    <row r="5" spans="1:40" x14ac:dyDescent="0.25">
      <c r="A5">
        <v>0</v>
      </c>
    </row>
    <row r="6" spans="1:40" x14ac:dyDescent="0.25">
      <c r="A6" t="b">
        <v>0</v>
      </c>
      <c r="B6">
        <v>15680</v>
      </c>
      <c r="C6">
        <v>7345</v>
      </c>
      <c r="D6">
        <v>8880</v>
      </c>
      <c r="E6">
        <v>2040</v>
      </c>
    </row>
    <row r="7" spans="1:40" x14ac:dyDescent="0.25">
      <c r="A7" t="b">
        <v>0</v>
      </c>
      <c r="B7">
        <v>15680</v>
      </c>
      <c r="C7">
        <v>7345</v>
      </c>
      <c r="D7">
        <v>13120</v>
      </c>
      <c r="E7">
        <v>0</v>
      </c>
    </row>
    <row r="8" spans="1:40" x14ac:dyDescent="0.25">
      <c r="A8" t="b">
        <v>0</v>
      </c>
      <c r="B8">
        <v>15680</v>
      </c>
      <c r="C8">
        <v>7345</v>
      </c>
      <c r="D8">
        <v>13120</v>
      </c>
      <c r="E8">
        <v>0</v>
      </c>
    </row>
    <row r="9" spans="1:40" x14ac:dyDescent="0.25">
      <c r="A9" t="b">
        <v>0</v>
      </c>
      <c r="B9">
        <v>15680</v>
      </c>
      <c r="C9">
        <v>7345</v>
      </c>
      <c r="D9">
        <v>13120</v>
      </c>
      <c r="E9">
        <v>0</v>
      </c>
    </row>
    <row r="10" spans="1:40" x14ac:dyDescent="0.25">
      <c r="A10" t="b">
        <v>0</v>
      </c>
      <c r="B10">
        <v>15680</v>
      </c>
      <c r="C10">
        <v>7345</v>
      </c>
      <c r="D10">
        <v>13120</v>
      </c>
      <c r="E10">
        <v>0</v>
      </c>
    </row>
    <row r="11" spans="1:40" x14ac:dyDescent="0.25">
      <c r="A11">
        <v>0</v>
      </c>
    </row>
    <row r="12" spans="1:40" x14ac:dyDescent="0.25">
      <c r="A12">
        <v>0</v>
      </c>
      <c r="B12" t="b">
        <v>0</v>
      </c>
      <c r="C12" t="b">
        <v>0</v>
      </c>
      <c r="D12">
        <v>10</v>
      </c>
      <c r="E12">
        <v>0.95</v>
      </c>
      <c r="F12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"/>
  <sheetViews>
    <sheetView workbookViewId="0"/>
  </sheetViews>
  <sheetFormatPr defaultRowHeight="15" x14ac:dyDescent="0.25"/>
  <cols>
    <col min="1" max="26" width="18.7109375" customWidth="1"/>
  </cols>
  <sheetData>
    <row r="1" spans="1:61" x14ac:dyDescent="0.25">
      <c r="A1" t="s">
        <v>41</v>
      </c>
      <c r="B1" t="s">
        <v>48</v>
      </c>
      <c r="C1" t="s">
        <v>45</v>
      </c>
      <c r="D1" t="s">
        <v>46</v>
      </c>
      <c r="E1" t="s">
        <v>43</v>
      </c>
      <c r="F1" t="s">
        <v>44</v>
      </c>
      <c r="G1" t="s">
        <v>60</v>
      </c>
      <c r="H1" t="s">
        <v>51</v>
      </c>
      <c r="I1" t="s">
        <v>52</v>
      </c>
      <c r="J1" t="s">
        <v>53</v>
      </c>
      <c r="K1" t="s">
        <v>54</v>
      </c>
      <c r="L1" t="s">
        <v>49</v>
      </c>
      <c r="M1" t="s">
        <v>55</v>
      </c>
      <c r="N1" t="s">
        <v>57</v>
      </c>
      <c r="O1" t="s">
        <v>61</v>
      </c>
      <c r="P1" t="s">
        <v>63</v>
      </c>
      <c r="Q1" t="s">
        <v>62</v>
      </c>
      <c r="R1" t="s">
        <v>42</v>
      </c>
      <c r="S1" t="s">
        <v>47</v>
      </c>
      <c r="Y1" t="s">
        <v>56</v>
      </c>
      <c r="Z1" t="s">
        <v>58</v>
      </c>
      <c r="AA1" t="s">
        <v>50</v>
      </c>
      <c r="AB1" t="s">
        <v>59</v>
      </c>
    </row>
    <row r="2" spans="1:61" x14ac:dyDescent="0.25">
      <c r="E2">
        <f>Model!$B$50</f>
        <v>2540.8270862862869</v>
      </c>
      <c r="S2">
        <v>18</v>
      </c>
    </row>
    <row r="3" spans="1:61" x14ac:dyDescent="0.25">
      <c r="A3" t="s">
        <v>39</v>
      </c>
      <c r="B3">
        <v>1</v>
      </c>
      <c r="C3" t="s">
        <v>40</v>
      </c>
    </row>
    <row r="4" spans="1:61" x14ac:dyDescent="0.25">
      <c r="A4" t="s">
        <v>41</v>
      </c>
      <c r="B4" t="s">
        <v>48</v>
      </c>
      <c r="C4" t="s">
        <v>45</v>
      </c>
      <c r="D4" t="s">
        <v>46</v>
      </c>
      <c r="E4" t="s">
        <v>43</v>
      </c>
      <c r="F4" t="s">
        <v>44</v>
      </c>
      <c r="G4" t="s">
        <v>60</v>
      </c>
      <c r="H4" t="s">
        <v>51</v>
      </c>
      <c r="I4" t="s">
        <v>52</v>
      </c>
      <c r="J4" t="s">
        <v>53</v>
      </c>
      <c r="K4" t="s">
        <v>54</v>
      </c>
      <c r="L4" t="s">
        <v>49</v>
      </c>
      <c r="M4" t="s">
        <v>55</v>
      </c>
      <c r="N4" t="s">
        <v>57</v>
      </c>
      <c r="O4" t="s">
        <v>61</v>
      </c>
      <c r="P4" t="s">
        <v>63</v>
      </c>
      <c r="Q4" t="s">
        <v>62</v>
      </c>
      <c r="R4" t="s">
        <v>42</v>
      </c>
      <c r="S4" t="s">
        <v>47</v>
      </c>
      <c r="Y4" t="s">
        <v>56</v>
      </c>
      <c r="Z4" t="s">
        <v>58</v>
      </c>
      <c r="AA4" t="s">
        <v>50</v>
      </c>
      <c r="AB4" t="s">
        <v>59</v>
      </c>
    </row>
    <row r="5" spans="1:61" x14ac:dyDescent="0.25">
      <c r="A5">
        <v>1</v>
      </c>
      <c r="B5" t="b">
        <v>1</v>
      </c>
      <c r="C5">
        <v>0</v>
      </c>
      <c r="D5" t="s">
        <v>65</v>
      </c>
      <c r="E5">
        <f>Model!$B$5</f>
        <v>0.37</v>
      </c>
      <c r="F5" t="s">
        <v>64</v>
      </c>
      <c r="G5" t="s">
        <v>72</v>
      </c>
      <c r="H5" s="3" t="s">
        <v>70</v>
      </c>
      <c r="I5" s="3" t="s">
        <v>70</v>
      </c>
      <c r="J5" s="3" t="s">
        <v>70</v>
      </c>
      <c r="K5" s="3" t="s">
        <v>70</v>
      </c>
      <c r="L5" s="3" t="s">
        <v>69</v>
      </c>
      <c r="M5">
        <v>8</v>
      </c>
      <c r="N5" t="b">
        <v>1</v>
      </c>
      <c r="O5" t="b">
        <v>1</v>
      </c>
      <c r="P5">
        <v>1</v>
      </c>
      <c r="Q5">
        <v>0</v>
      </c>
      <c r="R5">
        <v>1</v>
      </c>
      <c r="S5">
        <v>4</v>
      </c>
      <c r="T5" t="s">
        <v>66</v>
      </c>
      <c r="U5" s="3" t="s">
        <v>67</v>
      </c>
      <c r="V5" t="s">
        <v>68</v>
      </c>
      <c r="W5">
        <v>1</v>
      </c>
      <c r="X5">
        <v>60</v>
      </c>
      <c r="Y5">
        <v>0</v>
      </c>
      <c r="Z5">
        <v>6</v>
      </c>
      <c r="AA5" t="b">
        <v>1</v>
      </c>
      <c r="AB5" s="3" t="s">
        <v>71</v>
      </c>
      <c r="AC5" s="3" t="s">
        <v>70</v>
      </c>
      <c r="AD5" s="3" t="s">
        <v>70</v>
      </c>
      <c r="AE5" s="3" t="s">
        <v>70</v>
      </c>
      <c r="AF5" s="3" t="s">
        <v>70</v>
      </c>
      <c r="AG5" s="3" t="s">
        <v>70</v>
      </c>
      <c r="AH5" s="3" t="s">
        <v>70</v>
      </c>
      <c r="AI5" s="3" t="s">
        <v>70</v>
      </c>
      <c r="AJ5" s="3" t="s">
        <v>70</v>
      </c>
      <c r="BB5" s="3" t="s">
        <v>73</v>
      </c>
      <c r="BC5" s="3" t="s">
        <v>74</v>
      </c>
      <c r="BD5" s="3" t="s">
        <v>75</v>
      </c>
      <c r="BE5" s="3" t="s">
        <v>76</v>
      </c>
      <c r="BF5" s="3" t="s">
        <v>77</v>
      </c>
      <c r="BG5" s="3" t="s">
        <v>78</v>
      </c>
      <c r="BH5" s="3" t="s">
        <v>79</v>
      </c>
      <c r="BI5" s="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/>
  </sheetViews>
  <sheetFormatPr defaultColWidth="25.7109375" defaultRowHeight="15" x14ac:dyDescent="0.25"/>
  <sheetData>
    <row r="1" spans="1:16" x14ac:dyDescent="0.25">
      <c r="A1" t="s">
        <v>98</v>
      </c>
      <c r="B1" t="s">
        <v>99</v>
      </c>
    </row>
    <row r="2" spans="1:16" x14ac:dyDescent="0.25">
      <c r="A2" t="s">
        <v>100</v>
      </c>
      <c r="B2" t="s">
        <v>101</v>
      </c>
    </row>
    <row r="3" spans="1:16" x14ac:dyDescent="0.25">
      <c r="A3" t="s">
        <v>102</v>
      </c>
      <c r="B3" t="s">
        <v>101</v>
      </c>
    </row>
    <row r="4" spans="1:16" x14ac:dyDescent="0.25">
      <c r="A4" t="s">
        <v>103</v>
      </c>
      <c r="B4" t="s">
        <v>99</v>
      </c>
    </row>
    <row r="9" spans="1:16" x14ac:dyDescent="0.25">
      <c r="A9" t="s">
        <v>104</v>
      </c>
      <c r="B9">
        <v>4</v>
      </c>
    </row>
    <row r="10" spans="1:16" x14ac:dyDescent="0.25">
      <c r="A10" t="s">
        <v>105</v>
      </c>
      <c r="B10" t="s">
        <v>106</v>
      </c>
      <c r="C10" t="s">
        <v>107</v>
      </c>
      <c r="D10" t="s">
        <v>108</v>
      </c>
      <c r="E10" t="s">
        <v>109</v>
      </c>
      <c r="F10" t="s">
        <v>110</v>
      </c>
      <c r="G10" t="s">
        <v>111</v>
      </c>
      <c r="H10" t="s">
        <v>112</v>
      </c>
      <c r="I10" t="s">
        <v>113</v>
      </c>
      <c r="J10" t="s">
        <v>114</v>
      </c>
      <c r="K10" t="s">
        <v>115</v>
      </c>
      <c r="L10" t="s">
        <v>116</v>
      </c>
      <c r="M10" t="s">
        <v>117</v>
      </c>
      <c r="N10" t="s">
        <v>118</v>
      </c>
      <c r="O10" t="s">
        <v>119</v>
      </c>
    </row>
    <row r="11" spans="1:16" x14ac:dyDescent="0.25">
      <c r="A11" t="s">
        <v>120</v>
      </c>
      <c r="B11" s="3" t="s">
        <v>84</v>
      </c>
      <c r="C11" t="e">
        <f>Sheet1!$B$2:$B$10</f>
        <v>#VALUE!</v>
      </c>
      <c r="D11">
        <v>0</v>
      </c>
      <c r="E11" s="3" t="s">
        <v>121</v>
      </c>
      <c r="F11" t="s">
        <v>124</v>
      </c>
      <c r="J11" t="s">
        <v>122</v>
      </c>
      <c r="K11" t="s">
        <v>123</v>
      </c>
      <c r="O11">
        <v>4</v>
      </c>
      <c r="P11" t="b">
        <v>1</v>
      </c>
    </row>
    <row r="12" spans="1:16" x14ac:dyDescent="0.25">
      <c r="A12" t="s">
        <v>125</v>
      </c>
      <c r="B12" s="3" t="s">
        <v>97</v>
      </c>
      <c r="C12" t="e">
        <f>Sheet1!$C$2:$C$10</f>
        <v>#VALUE!</v>
      </c>
      <c r="D12">
        <v>0</v>
      </c>
      <c r="E12" s="3" t="s">
        <v>121</v>
      </c>
      <c r="F12" t="s">
        <v>126</v>
      </c>
      <c r="J12" t="s">
        <v>122</v>
      </c>
      <c r="K12" t="s">
        <v>123</v>
      </c>
      <c r="O12">
        <v>4</v>
      </c>
      <c r="P12" t="b">
        <v>1</v>
      </c>
    </row>
    <row r="13" spans="1:16" x14ac:dyDescent="0.25">
      <c r="A13" t="s">
        <v>127</v>
      </c>
      <c r="B13" s="3" t="s">
        <v>85</v>
      </c>
      <c r="C13" t="e">
        <f>Sheet1!$D$2:$D$9</f>
        <v>#VALUE!</v>
      </c>
      <c r="D13">
        <v>0</v>
      </c>
      <c r="E13" s="3" t="s">
        <v>121</v>
      </c>
      <c r="F13" t="s">
        <v>128</v>
      </c>
      <c r="J13" t="s">
        <v>122</v>
      </c>
      <c r="K13" t="s">
        <v>123</v>
      </c>
      <c r="O13">
        <v>4</v>
      </c>
      <c r="P13" t="b">
        <v>1</v>
      </c>
    </row>
    <row r="14" spans="1:16" x14ac:dyDescent="0.25">
      <c r="A14" t="s">
        <v>129</v>
      </c>
      <c r="B14" s="3" t="s">
        <v>130</v>
      </c>
      <c r="C14" t="e">
        <f>Sheet1!$C$2:$C$10</f>
        <v>#VALUE!</v>
      </c>
      <c r="D14">
        <v>0</v>
      </c>
      <c r="E14" s="3" t="s">
        <v>121</v>
      </c>
      <c r="F14" t="s">
        <v>131</v>
      </c>
      <c r="J14" t="s">
        <v>122</v>
      </c>
      <c r="K14" t="s">
        <v>123</v>
      </c>
      <c r="O14">
        <v>4</v>
      </c>
      <c r="P14" t="b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"/>
  <sheetViews>
    <sheetView workbookViewId="0"/>
  </sheetViews>
  <sheetFormatPr defaultRowHeight="15" x14ac:dyDescent="0.25"/>
  <sheetData>
    <row r="1" spans="1:74" x14ac:dyDescent="0.25">
      <c r="A1">
        <v>1</v>
      </c>
      <c r="B1">
        <v>59</v>
      </c>
      <c r="C1">
        <v>37</v>
      </c>
      <c r="D1">
        <v>74</v>
      </c>
      <c r="E1">
        <v>0</v>
      </c>
      <c r="F1">
        <v>0</v>
      </c>
      <c r="G1">
        <v>0</v>
      </c>
    </row>
    <row r="2" spans="1:74" x14ac:dyDescent="0.25">
      <c r="A2">
        <f>Model!$B$2</f>
        <v>488</v>
      </c>
      <c r="B2" t="e">
        <f ca="1">RiskValStatic(488)+_xll.RiskUniform(439.2,536.8,_xll.RiskStatic(488))</f>
        <v>#NAME?</v>
      </c>
      <c r="C2">
        <f>Model!$B$3</f>
        <v>0.01</v>
      </c>
      <c r="D2" t="e">
        <f ca="1">RiskValStatic(0.01)+_xll.RiskBeta(9,818,_xll.RiskTruncate(0,1),_xll.RiskStatic(0.01))</f>
        <v>#NAME?</v>
      </c>
      <c r="E2">
        <f>Model!$C$3</f>
        <v>0.154</v>
      </c>
      <c r="F2" t="e">
        <f ca="1">RiskValStatic(0.154)+_xll.RiskBeta(61,327,_xll.RiskTruncate(0,1),_xll.RiskStatic(0.154))</f>
        <v>#NAME?</v>
      </c>
      <c r="G2">
        <f>Model!$D$3</f>
        <v>0.03</v>
      </c>
      <c r="H2" t="e">
        <f ca="1">RiskValStatic(0.03)+_xll.RiskBeta(34,1068,_xll.RiskTruncate(0,1),_xll.RiskStatic(0.03))</f>
        <v>#NAME?</v>
      </c>
      <c r="I2">
        <f>Model!$B$5</f>
        <v>0.37</v>
      </c>
      <c r="J2" t="e">
        <f ca="1">RiskValStatic(0.37)+_xll.RiskBeta(23,39,_xll.RiskTruncate(0,1),_xll.RiskStatic(0.37))</f>
        <v>#NAME?</v>
      </c>
      <c r="K2">
        <f>Model!$B$8</f>
        <v>0.69</v>
      </c>
      <c r="L2" t="e">
        <f ca="1">RiskValStatic(0.69)+_xll.RiskBeta(227,101,_xll.RiskTruncate(0,1),_xll.RiskStatic(0.69))</f>
        <v>#NAME?</v>
      </c>
      <c r="M2">
        <f>Model!$B$9</f>
        <v>1</v>
      </c>
      <c r="N2" t="e">
        <f ca="1">RiskValStatic(1)+_xll.RiskBeta(254,1,_xll.RiskTruncate(0,1),_xll.RiskStatic(1))</f>
        <v>#NAME?</v>
      </c>
      <c r="O2">
        <f>Model!$B$12</f>
        <v>0.97</v>
      </c>
      <c r="P2" t="e">
        <f ca="1">RiskValStatic(0.97)+_xll.RiskBeta(1646,5,_xll.RiskTruncate(0,1),_xll.RiskStatic(0.97))</f>
        <v>#NAME?</v>
      </c>
      <c r="Q2">
        <f>Model!$B$13</f>
        <v>2.5</v>
      </c>
      <c r="R2" t="e">
        <f ca="1">RiskValStatic(2.5)+_xll.RiskUniform(1.5,3.26,_xll.RiskStatic(2.5))</f>
        <v>#NAME?</v>
      </c>
      <c r="S2">
        <f>Model!$B$14</f>
        <v>1.8319832680000001</v>
      </c>
      <c r="T2" t="e">
        <f ca="1">RiskValStatic(1.831983268)+_xll.RiskPareto(5.5183,1.5,_xll.RiskName("cost FBAT 2"))</f>
        <v>#NAME?</v>
      </c>
      <c r="U2">
        <f>Model!$B$15</f>
        <v>14.532299999999999</v>
      </c>
      <c r="V2" t="e">
        <f ca="1">RiskValStatic(14.5323)+_xll.RiskExpon(12.837,_xll.RiskShift(1.6953),_xll.RiskName("cost treatment"))</f>
        <v>#NAME?</v>
      </c>
      <c r="W2">
        <f>Model!$B$17</f>
        <v>0.15</v>
      </c>
      <c r="X2" t="e">
        <f ca="1">RiskValStatic(0.15)+_xll.RiskUniform(0.15,0.211,_xll.RiskStatic(0.15))</f>
        <v>#NAME?</v>
      </c>
      <c r="Y2">
        <f>Model!$B$18</f>
        <v>4.5</v>
      </c>
      <c r="Z2" t="e">
        <f ca="1">RiskValStatic(4.5)+_xll.RiskExpon(0.45,_xll.RiskShift(4.5),_xll.RiskStatic(4.5))</f>
        <v>#NAME?</v>
      </c>
      <c r="AA2">
        <f>Model!$B$29</f>
        <v>3.0743999999999998</v>
      </c>
      <c r="AB2" t="e">
        <f ca="1">_xll.RiskOutput("missed cases FBAT / Western Kenya")+(Model!B2*Model!B3)*Model!B6</f>
        <v>#VALUE!</v>
      </c>
      <c r="AC2">
        <f>Model!$C$29</f>
        <v>47.345759999999999</v>
      </c>
      <c r="AD2" t="e">
        <f ca="1">_xll.RiskOutput("missed cases FBAT / Ijara")+(Model!B2*Model!C3)*Model!B6</f>
        <v>#VALUE!</v>
      </c>
      <c r="AE2">
        <f>Model!$D$29</f>
        <v>1471.7997</v>
      </c>
      <c r="AF2" t="e">
        <f ca="1">_xll.RiskOutput("missed cases FBAT / national")+(Model!D2*Model!D3)*Model!B6</f>
        <v>#VALUE!</v>
      </c>
      <c r="AG2">
        <f>Model!$B$30</f>
        <v>0</v>
      </c>
      <c r="AH2" t="e">
        <f ca="1">_xll.RiskOutput("missed cases RBT / Western Kenya")+(Model!B2*Model!B3)*Model!B10</f>
        <v>#VALUE!</v>
      </c>
      <c r="AI2">
        <f>Model!$C$30</f>
        <v>0</v>
      </c>
      <c r="AJ2" t="e">
        <f ca="1">_xll.RiskOutput("missed cases RBT / Ijara")+(Model!B2*Model!C3)*Model!B10</f>
        <v>#VALUE!</v>
      </c>
      <c r="AK2">
        <f>Model!$D$30</f>
        <v>0</v>
      </c>
      <c r="AL2" t="e">
        <f ca="1">_xll.RiskOutput("missed cases RBT / national")+(Model!D2*Model!D3)*Model!B10</f>
        <v>#VALUE!</v>
      </c>
      <c r="AM2">
        <f>Model!$B$32</f>
        <v>149.76720000000003</v>
      </c>
      <c r="AN2" t="e">
        <f ca="1">_xll.RiskOutput("false positives FBAT / Western Kenya")+(Model!B2*Model!B4)*Model!B7</f>
        <v>#VALUE!</v>
      </c>
      <c r="AO2">
        <f>Model!$C$32</f>
        <v>127.98288000000002</v>
      </c>
      <c r="AP2" t="e">
        <f ca="1">_xll.RiskOutput("false positives FBAT / Ijara")+(Model!B2*Model!C4)*Model!B7</f>
        <v>#VALUE!</v>
      </c>
      <c r="AQ2">
        <f>Model!$D$32</f>
        <v>23416.411100000005</v>
      </c>
      <c r="AR2" t="e">
        <f ca="1">_xll.RiskOutput("false positives FBAT / national")+(Model!D2*Model!D4)*Model!B7</f>
        <v>#VALUE!</v>
      </c>
      <c r="AS2">
        <f>Model!$B$33</f>
        <v>14.493600000000013</v>
      </c>
      <c r="AT2" t="e">
        <f ca="1">_xll.RiskOutput("false positives RBT / Western Kenya")+(Model!B2*Model!B4)*Model!B11</f>
        <v>#VALUE!</v>
      </c>
      <c r="AU2">
        <f>Model!$C$33</f>
        <v>12.385440000000012</v>
      </c>
      <c r="AV2" t="e">
        <f ca="1">_xll.RiskOutput("false positives RBT / Ijara")+(Model!B2*Model!C4)*Model!B11</f>
        <v>#VALUE!</v>
      </c>
      <c r="AW2">
        <f>Model!$D$33</f>
        <v>2266.1043000000018</v>
      </c>
      <c r="AX2" t="e">
        <f ca="1">_xll.RiskOutput("false positives RBT / national")+(Model!D2*Model!D4)*Model!B11</f>
        <v>#VALUE!</v>
      </c>
      <c r="AY2">
        <f>Model!$B$41</f>
        <v>2176.4618805600003</v>
      </c>
      <c r="AZ2" t="e">
        <f ca="1">_xll.RiskOutput("cost false positivesFBAT / Busia")+Model!B32*Model!B15</f>
        <v>#VALUE!</v>
      </c>
      <c r="BA2">
        <f>Model!$C$41</f>
        <v>1859.8856070240001</v>
      </c>
      <c r="BB2" t="e">
        <f ca="1">_xll.RiskOutput("cost false positives FBAT / Ijara")+Model!C32*Model!B15</f>
        <v>#VALUE!</v>
      </c>
      <c r="BC2">
        <f>Model!$D$41</f>
        <v>340294.31102853006</v>
      </c>
      <c r="BD2" t="e">
        <f ca="1">_xll.RiskOutput("FBAT /national cost tx false positives")+Model!D32*Model!B15</f>
        <v>#VALUE!</v>
      </c>
      <c r="BE2">
        <f>Model!$B$42</f>
        <v>210.62534328000018</v>
      </c>
      <c r="BF2" t="e">
        <f ca="1">_xll.RiskOutput("cost false positives RBT / Busia")+Model!B33*Model!B15</f>
        <v>#VALUE!</v>
      </c>
      <c r="BG2">
        <f>Model!$C$42</f>
        <v>179.98892971200016</v>
      </c>
      <c r="BH2" t="e">
        <f ca="1">_xll.RiskOutput("cost false positives RBT / Ijara")+Model!C33*Model!B15</f>
        <v>#VALUE!</v>
      </c>
      <c r="BI2">
        <f>Model!$D$42</f>
        <v>32931.707518890027</v>
      </c>
      <c r="BJ2" t="e">
        <f ca="1">_xll.RiskOutput("RBT / national cost tx false positives")+Model!D33*Model!B15</f>
        <v>#VALUE!</v>
      </c>
      <c r="BK2">
        <f>Model!$B$50</f>
        <v>2540.8270862862869</v>
      </c>
      <c r="BL2" t="e">
        <f ca="1">_xll.RiskOutput("$/DALY averted -FBAT -Busia")+Model!B44/Model!B26</f>
        <v>#VALUE!</v>
      </c>
      <c r="BM2">
        <f>Model!$C$50</f>
        <v>168.25331097331102</v>
      </c>
      <c r="BN2" t="e">
        <f ca="1">_xll.RiskOutput("$/DALY averted FBAT Ijara")+Model!C44/Model!C26</f>
        <v>#VALUE!</v>
      </c>
      <c r="BO2">
        <f>Model!$D$50</f>
        <v>849.26985759092452</v>
      </c>
      <c r="BP2" t="e">
        <f ca="1">_xll.RiskOutput()+Model!D44/Model!D26</f>
        <v>#VALUE!</v>
      </c>
      <c r="BQ2">
        <f>Model!$B$51</f>
        <v>455.84182370370377</v>
      </c>
      <c r="BR2" t="e">
        <f ca="1">_xll.RiskOutput("$/DALY averted RBT -Busia")+Model!B45/Model!B27</f>
        <v>#VALUE!</v>
      </c>
      <c r="BS2">
        <f>Model!$C$51</f>
        <v>49.127503357383361</v>
      </c>
      <c r="BT2" t="e">
        <f ca="1">_xll.RiskOutput("$/DALY averted RBT - Ijara")+Model!C45/Model!C27</f>
        <v>#VALUE!</v>
      </c>
      <c r="BU2">
        <f>Model!$D$51</f>
        <v>165.86957679012349</v>
      </c>
      <c r="BV2" t="e">
        <f ca="1">_xll.RiskOutput()+Model!D45/Model!D27</f>
        <v>#VALUE!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3"/>
  <sheetViews>
    <sheetView tabSelected="1" topLeftCell="A31" workbookViewId="0">
      <selection activeCell="A53" sqref="A53"/>
    </sheetView>
  </sheetViews>
  <sheetFormatPr defaultRowHeight="15" x14ac:dyDescent="0.25"/>
  <cols>
    <col min="1" max="1" width="35.85546875" customWidth="1"/>
    <col min="2" max="2" width="14.42578125" customWidth="1"/>
  </cols>
  <sheetData>
    <row r="1" spans="1:6" x14ac:dyDescent="0.25">
      <c r="B1" t="s">
        <v>36</v>
      </c>
      <c r="C1" t="s">
        <v>19</v>
      </c>
      <c r="D1" t="s">
        <v>37</v>
      </c>
    </row>
    <row r="2" spans="1:6" x14ac:dyDescent="0.25">
      <c r="A2" t="s">
        <v>0</v>
      </c>
      <c r="B2">
        <f>488</f>
        <v>488</v>
      </c>
      <c r="D2">
        <v>77873</v>
      </c>
    </row>
    <row r="3" spans="1:6" x14ac:dyDescent="0.25">
      <c r="A3" t="s">
        <v>1</v>
      </c>
      <c r="B3">
        <f>0.01</f>
        <v>0.01</v>
      </c>
      <c r="C3">
        <f>0.154</f>
        <v>0.154</v>
      </c>
      <c r="D3">
        <f>0.03</f>
        <v>0.03</v>
      </c>
    </row>
    <row r="4" spans="1:6" x14ac:dyDescent="0.25">
      <c r="A4" t="s">
        <v>15</v>
      </c>
      <c r="B4">
        <f>(1-B3)</f>
        <v>0.99</v>
      </c>
      <c r="C4">
        <f>1-C3</f>
        <v>0.84599999999999997</v>
      </c>
      <c r="D4">
        <f>1-D3</f>
        <v>0.97</v>
      </c>
      <c r="F4" t="s">
        <v>38</v>
      </c>
    </row>
    <row r="5" spans="1:6" x14ac:dyDescent="0.25">
      <c r="A5" t="s">
        <v>3</v>
      </c>
      <c r="B5">
        <f>0.37</f>
        <v>0.37</v>
      </c>
      <c r="F5">
        <v>0.1</v>
      </c>
    </row>
    <row r="6" spans="1:6" x14ac:dyDescent="0.25">
      <c r="A6" t="s">
        <v>4</v>
      </c>
      <c r="B6">
        <f>(1-B5)</f>
        <v>0.63</v>
      </c>
      <c r="F6">
        <v>0.2</v>
      </c>
    </row>
    <row r="7" spans="1:6" x14ac:dyDescent="0.25">
      <c r="A7" t="s">
        <v>5</v>
      </c>
      <c r="B7">
        <f>(1-B8)</f>
        <v>0.31000000000000005</v>
      </c>
      <c r="F7">
        <v>0.3</v>
      </c>
    </row>
    <row r="8" spans="1:6" x14ac:dyDescent="0.25">
      <c r="A8" t="s">
        <v>6</v>
      </c>
      <c r="B8">
        <f>0.69</f>
        <v>0.69</v>
      </c>
      <c r="F8">
        <v>0.4</v>
      </c>
    </row>
    <row r="9" spans="1:6" x14ac:dyDescent="0.25">
      <c r="A9" t="s">
        <v>2</v>
      </c>
      <c r="B9">
        <f>1</f>
        <v>1</v>
      </c>
      <c r="F9">
        <v>0.5</v>
      </c>
    </row>
    <row r="10" spans="1:6" x14ac:dyDescent="0.25">
      <c r="A10" t="s">
        <v>7</v>
      </c>
      <c r="B10">
        <f>(1-B9)</f>
        <v>0</v>
      </c>
      <c r="F10">
        <v>0.6</v>
      </c>
    </row>
    <row r="11" spans="1:6" x14ac:dyDescent="0.25">
      <c r="A11" t="s">
        <v>8</v>
      </c>
      <c r="B11">
        <f>(1-B12)</f>
        <v>3.0000000000000027E-2</v>
      </c>
      <c r="F11">
        <v>0.7</v>
      </c>
    </row>
    <row r="12" spans="1:6" x14ac:dyDescent="0.25">
      <c r="A12" t="s">
        <v>9</v>
      </c>
      <c r="B12">
        <f>0.97</f>
        <v>0.97</v>
      </c>
      <c r="F12">
        <v>0.8</v>
      </c>
    </row>
    <row r="13" spans="1:6" x14ac:dyDescent="0.25">
      <c r="A13" t="s">
        <v>10</v>
      </c>
      <c r="B13">
        <f>2.5</f>
        <v>2.5</v>
      </c>
    </row>
    <row r="14" spans="1:6" x14ac:dyDescent="0.25">
      <c r="A14" t="s">
        <v>11</v>
      </c>
      <c r="B14">
        <f>1.831983268</f>
        <v>1.8319832680000001</v>
      </c>
    </row>
    <row r="15" spans="1:6" x14ac:dyDescent="0.25">
      <c r="A15" t="s">
        <v>12</v>
      </c>
      <c r="B15">
        <f>14.5323</f>
        <v>14.532299999999999</v>
      </c>
    </row>
    <row r="16" spans="1:6" x14ac:dyDescent="0.25">
      <c r="A16" s="1" t="s">
        <v>20</v>
      </c>
    </row>
    <row r="17" spans="1:4" x14ac:dyDescent="0.25">
      <c r="A17" t="s">
        <v>21</v>
      </c>
      <c r="B17">
        <f>0.15</f>
        <v>0.15</v>
      </c>
    </row>
    <row r="18" spans="1:4" x14ac:dyDescent="0.25">
      <c r="A18" t="s">
        <v>22</v>
      </c>
      <c r="B18">
        <f>4.5</f>
        <v>4.5</v>
      </c>
    </row>
    <row r="19" spans="1:4" x14ac:dyDescent="0.25">
      <c r="A19" t="s">
        <v>23</v>
      </c>
      <c r="B19">
        <f>B18*B17</f>
        <v>0.67499999999999993</v>
      </c>
    </row>
    <row r="20" spans="1:4" x14ac:dyDescent="0.25">
      <c r="A20" s="1" t="s">
        <v>25</v>
      </c>
      <c r="B20">
        <f>B2*B3</f>
        <v>4.88</v>
      </c>
      <c r="C20">
        <f>B2*C3</f>
        <v>75.152000000000001</v>
      </c>
      <c r="D20">
        <f>D2*D3</f>
        <v>2336.19</v>
      </c>
    </row>
    <row r="21" spans="1:4" x14ac:dyDescent="0.25">
      <c r="A21" t="s">
        <v>26</v>
      </c>
      <c r="B21">
        <f>B20*B19</f>
        <v>3.2939999999999996</v>
      </c>
      <c r="C21">
        <f>C20*B19</f>
        <v>50.727599999999995</v>
      </c>
      <c r="D21">
        <f>D20*B19</f>
        <v>1576.9282499999999</v>
      </c>
    </row>
    <row r="22" spans="1:4" x14ac:dyDescent="0.25">
      <c r="A22" s="1" t="s">
        <v>24</v>
      </c>
    </row>
    <row r="23" spans="1:4" x14ac:dyDescent="0.25">
      <c r="A23" t="s">
        <v>13</v>
      </c>
      <c r="B23">
        <f>B20*B5</f>
        <v>1.8055999999999999</v>
      </c>
      <c r="C23">
        <f>C20*B5</f>
        <v>27.806239999999999</v>
      </c>
      <c r="D23">
        <f>D20*B5</f>
        <v>864.39030000000002</v>
      </c>
    </row>
    <row r="24" spans="1:4" x14ac:dyDescent="0.25">
      <c r="A24" t="s">
        <v>14</v>
      </c>
      <c r="B24">
        <f>B20*B9</f>
        <v>4.88</v>
      </c>
      <c r="C24">
        <f>C20*B9</f>
        <v>75.152000000000001</v>
      </c>
      <c r="D24">
        <f>D20*B9</f>
        <v>2336.19</v>
      </c>
    </row>
    <row r="25" spans="1:4" x14ac:dyDescent="0.25">
      <c r="A25" s="1" t="s">
        <v>34</v>
      </c>
    </row>
    <row r="26" spans="1:4" x14ac:dyDescent="0.25">
      <c r="A26" t="s">
        <v>13</v>
      </c>
      <c r="B26">
        <f>B23*B19</f>
        <v>1.2187799999999998</v>
      </c>
      <c r="C26">
        <f>C23*B19</f>
        <v>18.769211999999996</v>
      </c>
      <c r="D26">
        <f>D23*B19</f>
        <v>583.4634524999999</v>
      </c>
    </row>
    <row r="27" spans="1:4" x14ac:dyDescent="0.25">
      <c r="A27" t="s">
        <v>14</v>
      </c>
      <c r="B27">
        <f>B24*B19</f>
        <v>3.2939999999999996</v>
      </c>
      <c r="C27">
        <f>C24*B19</f>
        <v>50.727599999999995</v>
      </c>
      <c r="D27">
        <f>D24*B19</f>
        <v>1576.9282499999999</v>
      </c>
    </row>
    <row r="28" spans="1:4" x14ac:dyDescent="0.25">
      <c r="A28" s="1" t="s">
        <v>35</v>
      </c>
    </row>
    <row r="29" spans="1:4" x14ac:dyDescent="0.25">
      <c r="A29" t="s">
        <v>13</v>
      </c>
      <c r="B29">
        <f>(B2*B3)*B6</f>
        <v>3.0743999999999998</v>
      </c>
      <c r="C29">
        <f>(B2*C3)*B6</f>
        <v>47.345759999999999</v>
      </c>
      <c r="D29">
        <f>(D2*D3)*B6</f>
        <v>1471.7997</v>
      </c>
    </row>
    <row r="30" spans="1:4" x14ac:dyDescent="0.25">
      <c r="A30" t="s">
        <v>14</v>
      </c>
      <c r="B30">
        <f>(B2*B3)*B10</f>
        <v>0</v>
      </c>
      <c r="C30">
        <f>(B2*C3)*B10</f>
        <v>0</v>
      </c>
      <c r="D30">
        <f>(D2*D3)*B10</f>
        <v>0</v>
      </c>
    </row>
    <row r="31" spans="1:4" x14ac:dyDescent="0.25">
      <c r="A31" s="1" t="s">
        <v>27</v>
      </c>
    </row>
    <row r="32" spans="1:4" x14ac:dyDescent="0.25">
      <c r="A32" t="s">
        <v>13</v>
      </c>
      <c r="B32">
        <f>(B2*B4)*B7</f>
        <v>149.76720000000003</v>
      </c>
      <c r="C32">
        <f>(B2*C4)*B7</f>
        <v>127.98288000000002</v>
      </c>
      <c r="D32">
        <f>(D2*D4)*B7</f>
        <v>23416.411100000005</v>
      </c>
    </row>
    <row r="33" spans="1:4" x14ac:dyDescent="0.25">
      <c r="A33" t="s">
        <v>14</v>
      </c>
      <c r="B33">
        <f>(B2*B4)*B11</f>
        <v>14.493600000000013</v>
      </c>
      <c r="C33">
        <f>(B2*C4)*B11</f>
        <v>12.385440000000012</v>
      </c>
      <c r="D33">
        <f>(D2*D4)*B11</f>
        <v>2266.1043000000018</v>
      </c>
    </row>
    <row r="34" spans="1:4" x14ac:dyDescent="0.25">
      <c r="A34" s="1" t="s">
        <v>28</v>
      </c>
    </row>
    <row r="35" spans="1:4" x14ac:dyDescent="0.25">
      <c r="A35" t="s">
        <v>13</v>
      </c>
      <c r="B35">
        <f>B2*B14</f>
        <v>894.00783478400001</v>
      </c>
      <c r="C35">
        <f>B2*B14</f>
        <v>894.00783478400001</v>
      </c>
      <c r="D35">
        <f>D2*B14</f>
        <v>142662.03302896401</v>
      </c>
    </row>
    <row r="36" spans="1:4" x14ac:dyDescent="0.25">
      <c r="A36" t="s">
        <v>14</v>
      </c>
      <c r="B36">
        <f>B2*B13</f>
        <v>1220</v>
      </c>
      <c r="C36">
        <f>B2*B13</f>
        <v>1220</v>
      </c>
      <c r="D36">
        <f>D2*B13</f>
        <v>194682.5</v>
      </c>
    </row>
    <row r="37" spans="1:4" x14ac:dyDescent="0.25">
      <c r="A37" s="1" t="s">
        <v>29</v>
      </c>
    </row>
    <row r="38" spans="1:4" x14ac:dyDescent="0.25">
      <c r="A38" t="s">
        <v>13</v>
      </c>
      <c r="B38">
        <f>B23*B15</f>
        <v>26.239520879999997</v>
      </c>
      <c r="C38">
        <f>C23*B15</f>
        <v>404.08862155199995</v>
      </c>
      <c r="D38">
        <f>D23*B15</f>
        <v>12561.579156690001</v>
      </c>
    </row>
    <row r="39" spans="1:4" x14ac:dyDescent="0.25">
      <c r="A39" t="s">
        <v>14</v>
      </c>
      <c r="B39">
        <f>B24*B15</f>
        <v>70.917623999999989</v>
      </c>
      <c r="C39">
        <f>C24*B15</f>
        <v>1092.1314095999999</v>
      </c>
      <c r="D39">
        <f>D24*B15</f>
        <v>33950.213937</v>
      </c>
    </row>
    <row r="40" spans="1:4" x14ac:dyDescent="0.25">
      <c r="A40" s="1" t="s">
        <v>30</v>
      </c>
    </row>
    <row r="41" spans="1:4" x14ac:dyDescent="0.25">
      <c r="A41" s="2" t="s">
        <v>13</v>
      </c>
      <c r="B41">
        <f>B32*B15</f>
        <v>2176.4618805600003</v>
      </c>
      <c r="C41">
        <f>C32*B15</f>
        <v>1859.8856070240001</v>
      </c>
      <c r="D41">
        <f>D32*B15</f>
        <v>340294.31102853006</v>
      </c>
    </row>
    <row r="42" spans="1:4" x14ac:dyDescent="0.25">
      <c r="A42" s="2" t="s">
        <v>14</v>
      </c>
      <c r="B42">
        <f>B33*B15</f>
        <v>210.62534328000018</v>
      </c>
      <c r="C42">
        <f>C33*B15</f>
        <v>179.98892971200016</v>
      </c>
      <c r="D42">
        <f>D33*B15</f>
        <v>32931.707518890027</v>
      </c>
    </row>
    <row r="43" spans="1:4" x14ac:dyDescent="0.25">
      <c r="A43" s="1" t="s">
        <v>32</v>
      </c>
    </row>
    <row r="44" spans="1:4" x14ac:dyDescent="0.25">
      <c r="A44" s="2" t="s">
        <v>13</v>
      </c>
      <c r="B44">
        <f t="shared" ref="B44:D45" si="0">B35+B38+B41</f>
        <v>3096.7092362240001</v>
      </c>
      <c r="C44">
        <f t="shared" si="0"/>
        <v>3157.9820633600002</v>
      </c>
      <c r="D44">
        <f t="shared" si="0"/>
        <v>495517.92321418406</v>
      </c>
    </row>
    <row r="45" spans="1:4" x14ac:dyDescent="0.25">
      <c r="A45" s="2" t="s">
        <v>14</v>
      </c>
      <c r="B45">
        <f t="shared" si="0"/>
        <v>1501.5429672800001</v>
      </c>
      <c r="C45">
        <f t="shared" si="0"/>
        <v>2492.1203393119999</v>
      </c>
      <c r="D45">
        <f t="shared" si="0"/>
        <v>261564.42145589003</v>
      </c>
    </row>
    <row r="46" spans="1:4" s="1" customFormat="1" x14ac:dyDescent="0.25">
      <c r="A46" s="1" t="s">
        <v>31</v>
      </c>
    </row>
    <row r="47" spans="1:4" x14ac:dyDescent="0.25">
      <c r="A47" s="2" t="s">
        <v>13</v>
      </c>
      <c r="B47">
        <f>(B35+B38+B41)/B23</f>
        <v>1715.0582832432433</v>
      </c>
      <c r="C47">
        <f>(C35+C38+C41)/C23</f>
        <v>113.57098490698492</v>
      </c>
      <c r="D47">
        <f>D44/D23</f>
        <v>573.2571538738739</v>
      </c>
    </row>
    <row r="48" spans="1:4" x14ac:dyDescent="0.25">
      <c r="A48" s="2" t="s">
        <v>14</v>
      </c>
      <c r="B48">
        <f>(B36+B39+B42)/B24</f>
        <v>307.69323100000003</v>
      </c>
      <c r="C48">
        <f>(C36+C39+C42)/C24</f>
        <v>33.161064766233764</v>
      </c>
      <c r="D48">
        <f>D45/D24</f>
        <v>111.96196433333334</v>
      </c>
    </row>
    <row r="49" spans="1:4" x14ac:dyDescent="0.25">
      <c r="A49" s="1" t="s">
        <v>33</v>
      </c>
    </row>
    <row r="50" spans="1:4" x14ac:dyDescent="0.25">
      <c r="A50" s="2" t="s">
        <v>13</v>
      </c>
      <c r="B50">
        <f>B44/B26</f>
        <v>2540.8270862862869</v>
      </c>
      <c r="C50">
        <f>C44/C26</f>
        <v>168.25331097331102</v>
      </c>
      <c r="D50">
        <f>D44/D26</f>
        <v>849.26985759092452</v>
      </c>
    </row>
    <row r="51" spans="1:4" x14ac:dyDescent="0.25">
      <c r="A51" s="2" t="s">
        <v>14</v>
      </c>
      <c r="B51">
        <f>B45/B27</f>
        <v>455.84182370370377</v>
      </c>
      <c r="C51">
        <f>C45/C27</f>
        <v>49.127503357383361</v>
      </c>
      <c r="D51">
        <f>D45/D27</f>
        <v>165.86957679012349</v>
      </c>
    </row>
    <row r="53" spans="1:4" x14ac:dyDescent="0.25"/>
  </sheetData>
  <conditionalFormatting sqref="B2">
    <cfRule type="expression" dxfId="87" priority="1" stopIfTrue="1">
      <formula>IF(RiskSelectedCell=CELL("address",B2),TRUE)</formula>
    </cfRule>
  </conditionalFormatting>
  <conditionalFormatting sqref="A2">
    <cfRule type="expression" dxfId="86" priority="2" stopIfTrue="1">
      <formula>IF(RiskSelectedNameCell1=CELL("address",$A$2),TRUE)</formula>
    </cfRule>
  </conditionalFormatting>
  <conditionalFormatting sqref="D33">
    <cfRule type="expression" dxfId="64" priority="6" stopIfTrue="1">
      <formula>IF(RiskSelectedCell=CELL("address",D33),TRUE)</formula>
    </cfRule>
  </conditionalFormatting>
  <conditionalFormatting sqref="A33">
    <cfRule type="expression" dxfId="51" priority="7" stopIfTrue="1">
      <formula>IF(RiskSelectedNameCell1=CELL("address",$A$33),TRUE)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C20" sqref="C20"/>
    </sheetView>
  </sheetViews>
  <sheetFormatPr defaultRowHeight="15" x14ac:dyDescent="0.25"/>
  <sheetData>
    <row r="1" spans="1:4" x14ac:dyDescent="0.25">
      <c r="A1" t="s">
        <v>83</v>
      </c>
      <c r="B1" t="s">
        <v>84</v>
      </c>
      <c r="C1" t="s">
        <v>97</v>
      </c>
      <c r="D1" t="s">
        <v>85</v>
      </c>
    </row>
    <row r="2" spans="1:4" x14ac:dyDescent="0.25">
      <c r="A2" t="s">
        <v>86</v>
      </c>
      <c r="B2">
        <v>30</v>
      </c>
      <c r="C2">
        <v>1.5</v>
      </c>
      <c r="D2">
        <v>3.3</v>
      </c>
    </row>
    <row r="3" spans="1:4" x14ac:dyDescent="0.25">
      <c r="A3" t="s">
        <v>87</v>
      </c>
      <c r="B3">
        <v>15</v>
      </c>
      <c r="C3">
        <v>2</v>
      </c>
      <c r="D3">
        <v>33.6</v>
      </c>
    </row>
    <row r="4" spans="1:4" x14ac:dyDescent="0.25">
      <c r="A4" t="s">
        <v>88</v>
      </c>
      <c r="B4">
        <v>20</v>
      </c>
      <c r="C4">
        <v>3</v>
      </c>
      <c r="D4">
        <v>34.9</v>
      </c>
    </row>
    <row r="5" spans="1:4" x14ac:dyDescent="0.25">
      <c r="A5" t="s">
        <v>89</v>
      </c>
      <c r="B5">
        <v>60</v>
      </c>
      <c r="C5">
        <v>2</v>
      </c>
      <c r="D5">
        <v>13.6</v>
      </c>
    </row>
    <row r="6" spans="1:4" x14ac:dyDescent="0.25">
      <c r="D6">
        <v>13.6</v>
      </c>
    </row>
    <row r="7" spans="1:4" x14ac:dyDescent="0.25">
      <c r="A7" t="s">
        <v>90</v>
      </c>
      <c r="B7">
        <v>40</v>
      </c>
      <c r="C7">
        <v>1.5</v>
      </c>
      <c r="D7">
        <v>6.8</v>
      </c>
    </row>
    <row r="8" spans="1:4" x14ac:dyDescent="0.25">
      <c r="D8">
        <v>7.8</v>
      </c>
    </row>
    <row r="9" spans="1:4" x14ac:dyDescent="0.25">
      <c r="A9" t="s">
        <v>91</v>
      </c>
      <c r="B9">
        <v>20</v>
      </c>
      <c r="C9">
        <v>1.5</v>
      </c>
      <c r="D9">
        <v>15.5</v>
      </c>
    </row>
    <row r="10" spans="1:4" x14ac:dyDescent="0.25">
      <c r="A10" t="s">
        <v>92</v>
      </c>
      <c r="B10">
        <v>60</v>
      </c>
      <c r="C10">
        <v>1.5</v>
      </c>
    </row>
    <row r="12" spans="1:4" x14ac:dyDescent="0.25">
      <c r="A12" t="s">
        <v>93</v>
      </c>
      <c r="B12">
        <f>AVERAGE(B2:B10)</f>
        <v>35</v>
      </c>
      <c r="C12">
        <f>AVERAGE(C2:C10)</f>
        <v>1.8571428571428572</v>
      </c>
      <c r="D12">
        <f>AVERAGE(D2:D10)</f>
        <v>16.137499999999996</v>
      </c>
    </row>
    <row r="13" spans="1:4" x14ac:dyDescent="0.25">
      <c r="A13" t="s">
        <v>94</v>
      </c>
      <c r="B13">
        <v>60</v>
      </c>
      <c r="C13">
        <v>150</v>
      </c>
      <c r="D13">
        <v>1360</v>
      </c>
    </row>
    <row r="14" spans="1:4" x14ac:dyDescent="0.25">
      <c r="A14" s="4">
        <v>0.05</v>
      </c>
      <c r="B14">
        <v>23.2</v>
      </c>
      <c r="C14">
        <v>151</v>
      </c>
      <c r="D14">
        <v>918</v>
      </c>
    </row>
    <row r="15" spans="1:4" x14ac:dyDescent="0.25">
      <c r="A15" t="s">
        <v>95</v>
      </c>
      <c r="B15">
        <v>46.8</v>
      </c>
      <c r="C15">
        <v>221</v>
      </c>
      <c r="D15">
        <v>2300</v>
      </c>
    </row>
    <row r="17" spans="1:1" x14ac:dyDescent="0.25">
      <c r="A17" t="s">
        <v>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7" sqref="C7"/>
    </sheetView>
  </sheetViews>
  <sheetFormatPr defaultRowHeight="15" x14ac:dyDescent="0.25"/>
  <sheetData>
    <row r="1" spans="1:4" x14ac:dyDescent="0.25">
      <c r="B1" s="5">
        <v>2.5000000000000001E-2</v>
      </c>
      <c r="C1" t="s">
        <v>93</v>
      </c>
      <c r="D1" s="5">
        <v>0.97499999999999998</v>
      </c>
    </row>
    <row r="2" spans="1:4" x14ac:dyDescent="0.25">
      <c r="A2" t="s">
        <v>13</v>
      </c>
      <c r="B2">
        <v>47000</v>
      </c>
      <c r="C2">
        <v>338891</v>
      </c>
      <c r="D2">
        <v>1149000</v>
      </c>
    </row>
    <row r="3" spans="1:4" x14ac:dyDescent="0.25">
      <c r="A3" t="s">
        <v>14</v>
      </c>
      <c r="B3">
        <v>317</v>
      </c>
      <c r="C3">
        <v>3344</v>
      </c>
      <c r="D3">
        <v>13159</v>
      </c>
    </row>
    <row r="4" spans="1:4" x14ac:dyDescent="0.25">
      <c r="B4" t="s">
        <v>133</v>
      </c>
      <c r="C4" t="s">
        <v>93</v>
      </c>
      <c r="D4" t="s">
        <v>134</v>
      </c>
    </row>
    <row r="5" spans="1:4" x14ac:dyDescent="0.25">
      <c r="A5" t="s">
        <v>132</v>
      </c>
      <c r="B5">
        <f>B2/D3</f>
        <v>3.5716999772019151</v>
      </c>
      <c r="C5">
        <f>C2/C3</f>
        <v>101.3430023923445</v>
      </c>
      <c r="D5">
        <f>D2/B3</f>
        <v>3624.6056782334385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RiskSerializationData</vt:lpstr>
      <vt:lpstr>senseInfo</vt:lpstr>
      <vt:lpstr>_@RISKFitInformation</vt:lpstr>
      <vt:lpstr>RiskSwappedFuncs</vt:lpstr>
      <vt:lpstr>Model</vt:lpstr>
      <vt:lpstr>Sheet1</vt:lpstr>
      <vt:lpstr>Sheet2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2020-02-05T08:52:30Z</dcterms:created>
  <dcterms:modified xsi:type="dcterms:W3CDTF">2020-09-18T20:40:22Z</dcterms:modified>
</cp:coreProperties>
</file>